
<file path=[Content_Types].xml><?xml version="1.0" encoding="utf-8"?>
<Types xmlns="http://schemas.openxmlformats.org/package/2006/content-types">
  <Default Extension="xml" ContentType="application/xml"/>
  <Default Extension="vml" ContentType="application/vnd.openxmlformats-officedocument.vmlDrawing"/>
  <Default Extension="rels" ContentType="application/vnd.openxmlformats-package.relationships+xml"/>
  <Override PartName="/customXml/itemProps1.xml" ContentType="application/vnd.openxmlformats-officedocument.customXmlProperties+xml"/>
  <Override PartName="/customXml/itemProps10.xml" ContentType="application/vnd.openxmlformats-officedocument.customXmlProperties+xml"/>
  <Override PartName="/customXml/itemProps11.xml" ContentType="application/vnd.openxmlformats-officedocument.customXmlProperties+xml"/>
  <Override PartName="/customXml/itemProps12.xml" ContentType="application/vnd.openxmlformats-officedocument.customXmlProperties+xml"/>
  <Override PartName="/customXml/itemProps13.xml" ContentType="application/vnd.openxmlformats-officedocument.customXmlProperties+xml"/>
  <Override PartName="/customXml/itemProps14.xml" ContentType="application/vnd.openxmlformats-officedocument.customXmlProperties+xml"/>
  <Override PartName="/customXml/itemProps15.xml" ContentType="application/vnd.openxmlformats-officedocument.customXmlProperties+xml"/>
  <Override PartName="/customXml/itemProps16.xml" ContentType="application/vnd.openxmlformats-officedocument.customXmlProperties+xml"/>
  <Override PartName="/customXml/itemProps17.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customXml/itemProps6.xml" ContentType="application/vnd.openxmlformats-officedocument.customXmlProperties+xml"/>
  <Override PartName="/customXml/itemProps7.xml" ContentType="application/vnd.openxmlformats-officedocument.customXmlProperties+xml"/>
  <Override PartName="/customXml/itemProps8.xml" ContentType="application/vnd.openxmlformats-officedocument.customXmlProperties+xml"/>
  <Override PartName="/customXml/itemProps9.xml" ContentType="application/vnd.openxmlformats-officedocument.customXmlProperties+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nnections.xml" ContentType="application/vnd.openxmlformats-officedocument.spreadsheetml.connection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tables/table14.xml" ContentType="application/vnd.openxmlformats-officedocument.spreadsheetml.table+xml"/>
  <Override PartName="/xl/tables/table15.xml" ContentType="application/vnd.openxmlformats-officedocument.spreadsheetml.table+xml"/>
  <Override PartName="/xl/tables/table16.xml" ContentType="application/vnd.openxmlformats-officedocument.spreadsheetml.table+xml"/>
  <Override PartName="/xl/tables/table17.xml" ContentType="application/vnd.openxmlformats-officedocument.spreadsheetml.table+xml"/>
  <Override PartName="/xl/tables/table18.xml" ContentType="application/vnd.openxmlformats-officedocument.spreadsheetml.table+xml"/>
  <Override PartName="/xl/tables/table19.xml" ContentType="application/vnd.openxmlformats-officedocument.spreadsheetml.table+xml"/>
  <Override PartName="/xl/tables/table2.xml" ContentType="application/vnd.openxmlformats-officedocument.spreadsheetml.table+xml"/>
  <Override PartName="/xl/tables/table20.xml" ContentType="application/vnd.openxmlformats-officedocument.spreadsheetml.table+xml"/>
  <Override PartName="/xl/tables/table21.xml" ContentType="application/vnd.openxmlformats-officedocument.spreadsheetml.table+xml"/>
  <Override PartName="/xl/tables/table22.xml" ContentType="application/vnd.openxmlformats-officedocument.spreadsheetml.table+xml"/>
  <Override PartName="/xl/tables/table23.xml" ContentType="application/vnd.openxmlformats-officedocument.spreadsheetml.table+xml"/>
  <Override PartName="/xl/tables/table24.xml" ContentType="application/vnd.openxmlformats-officedocument.spreadsheetml.table+xml"/>
  <Override PartName="/xl/tables/table25.xml" ContentType="application/vnd.openxmlformats-officedocument.spreadsheetml.table+xml"/>
  <Override PartName="/xl/tables/table26.xml" ContentType="application/vnd.openxmlformats-officedocument.spreadsheetml.table+xml"/>
  <Override PartName="/xl/tables/table27.xml" ContentType="application/vnd.openxmlformats-officedocument.spreadsheetml.table+xml"/>
  <Override PartName="/xl/tables/table28.xml" ContentType="application/vnd.openxmlformats-officedocument.spreadsheetml.table+xml"/>
  <Override PartName="/xl/tables/table29.xml" ContentType="application/vnd.openxmlformats-officedocument.spreadsheetml.table+xml"/>
  <Override PartName="/xl/tables/table3.xml" ContentType="application/vnd.openxmlformats-officedocument.spreadsheetml.table+xml"/>
  <Override PartName="/xl/tables/table30.xml" ContentType="application/vnd.openxmlformats-officedocument.spreadsheetml.table+xml"/>
  <Override PartName="/xl/tables/table31.xml" ContentType="application/vnd.openxmlformats-officedocument.spreadsheetml.table+xml"/>
  <Override PartName="/xl/tables/table32.xml" ContentType="application/vnd.openxmlformats-officedocument.spreadsheetml.table+xml"/>
  <Override PartName="/xl/tables/table33.xml" ContentType="application/vnd.openxmlformats-officedocument.spreadsheetml.table+xml"/>
  <Override PartName="/xl/tables/table34.xml" ContentType="application/vnd.openxmlformats-officedocument.spreadsheetml.table+xml"/>
  <Override PartName="/xl/tables/table35.xml" ContentType="application/vnd.openxmlformats-officedocument.spreadsheetml.table+xml"/>
  <Override PartName="/xl/tables/table36.xml" ContentType="application/vnd.openxmlformats-officedocument.spreadsheetml.table+xml"/>
  <Override PartName="/xl/tables/table37.xml" ContentType="application/vnd.openxmlformats-officedocument.spreadsheetml.table+xml"/>
  <Override PartName="/xl/tables/table38.xml" ContentType="application/vnd.openxmlformats-officedocument.spreadsheetml.table+xml"/>
  <Override PartName="/xl/tables/table39.xml" ContentType="application/vnd.openxmlformats-officedocument.spreadsheetml.table+xml"/>
  <Override PartName="/xl/tables/table4.xml" ContentType="application/vnd.openxmlformats-officedocument.spreadsheetml.table+xml"/>
  <Override PartName="/xl/tables/table40.xml" ContentType="application/vnd.openxmlformats-officedocument.spreadsheetml.table+xml"/>
  <Override PartName="/xl/tables/table41.xml" ContentType="application/vnd.openxmlformats-officedocument.spreadsheetml.table+xml"/>
  <Override PartName="/xl/tables/table42.xml" ContentType="application/vnd.openxmlformats-officedocument.spreadsheetml.table+xml"/>
  <Override PartName="/xl/tables/table43.xml" ContentType="application/vnd.openxmlformats-officedocument.spreadsheetml.table+xml"/>
  <Override PartName="/xl/tables/table44.xml" ContentType="application/vnd.openxmlformats-officedocument.spreadsheetml.table+xml"/>
  <Override PartName="/xl/tables/table45.xml" ContentType="application/vnd.openxmlformats-officedocument.spreadsheetml.table+xml"/>
  <Override PartName="/xl/tables/table46.xml" ContentType="application/vnd.openxmlformats-officedocument.spreadsheetml.table+xml"/>
  <Override PartName="/xl/tables/table47.xml" ContentType="application/vnd.openxmlformats-officedocument.spreadsheetml.table+xml"/>
  <Override PartName="/xl/tables/table48.xml" ContentType="application/vnd.openxmlformats-officedocument.spreadsheetml.table+xml"/>
  <Override PartName="/xl/tables/table49.xml" ContentType="application/vnd.openxmlformats-officedocument.spreadsheetml.table+xml"/>
  <Override PartName="/xl/tables/table5.xml" ContentType="application/vnd.openxmlformats-officedocument.spreadsheetml.table+xml"/>
  <Override PartName="/xl/tables/table50.xml" ContentType="application/vnd.openxmlformats-officedocument.spreadsheetml.table+xml"/>
  <Override PartName="/xl/tables/table51.xml" ContentType="application/vnd.openxmlformats-officedocument.spreadsheetml.table+xml"/>
  <Override PartName="/xl/tables/table52.xml" ContentType="application/vnd.openxmlformats-officedocument.spreadsheetml.table+xml"/>
  <Override PartName="/xl/tables/table53.xml" ContentType="application/vnd.openxmlformats-officedocument.spreadsheetml.table+xml"/>
  <Override PartName="/xl/tables/table54.xml" ContentType="application/vnd.openxmlformats-officedocument.spreadsheetml.table+xml"/>
  <Override PartName="/xl/tables/table55.xml" ContentType="application/vnd.openxmlformats-officedocument.spreadsheetml.table+xml"/>
  <Override PartName="/xl/tables/table56.xml" ContentType="application/vnd.openxmlformats-officedocument.spreadsheetml.table+xml"/>
  <Override PartName="/xl/tables/table57.xml" ContentType="application/vnd.openxmlformats-officedocument.spreadsheetml.table+xml"/>
  <Override PartName="/xl/tables/table58.xml" ContentType="application/vnd.openxmlformats-officedocument.spreadsheetml.table+xml"/>
  <Override PartName="/xl/tables/table59.xml" ContentType="application/vnd.openxmlformats-officedocument.spreadsheetml.table+xml"/>
  <Override PartName="/xl/tables/table6.xml" ContentType="application/vnd.openxmlformats-officedocument.spreadsheetml.table+xml"/>
  <Override PartName="/xl/tables/table60.xml" ContentType="application/vnd.openxmlformats-officedocument.spreadsheetml.table+xml"/>
  <Override PartName="/xl/tables/table61.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hidePivotFieldList="1"/>
  <bookViews>
    <workbookView windowWidth="28800" windowHeight="12510" firstSheet="2" activeTab="5"/>
  </bookViews>
  <sheets>
    <sheet name="Servente" sheetId="18" state="hidden" r:id="rId1"/>
    <sheet name="Encarregado" sheetId="19" state="hidden" r:id="rId2"/>
    <sheet name="ASG com Insalubridade (40%)" sheetId="26" r:id="rId3"/>
    <sheet name="Materiais" sheetId="14" r:id="rId4"/>
    <sheet name="Uniformes EPI EPC" sheetId="27" r:id="rId5"/>
    <sheet name="Equipamentos" sheetId="28" r:id="rId6"/>
  </sheets>
  <definedNames>
    <definedName name="_1A" localSheetId="1">Encarregado!$D$11</definedName>
    <definedName name="_1A" localSheetId="0">Servente!$D$11</definedName>
    <definedName name="_1A">#REF!</definedName>
    <definedName name="_1B" localSheetId="1">Encarregado!$D$12</definedName>
    <definedName name="_1B" localSheetId="0">Servente!$D$12</definedName>
    <definedName name="_1B">#REF!</definedName>
    <definedName name="_1C" localSheetId="1">Encarregado!$D$13</definedName>
    <definedName name="_1C" localSheetId="0">Servente!$D$13</definedName>
    <definedName name="_1C">#REF!</definedName>
    <definedName name="_1D" localSheetId="1">Encarregado!$D$14</definedName>
    <definedName name="_1D" localSheetId="0">Servente!$D$14</definedName>
    <definedName name="_1D">#REF!</definedName>
    <definedName name="_1E" localSheetId="1">Encarregado!$D$15</definedName>
    <definedName name="_1E" localSheetId="0">Servente!$D$15</definedName>
    <definedName name="_1E">#REF!</definedName>
    <definedName name="_1F" localSheetId="1">Encarregado!$D$16</definedName>
    <definedName name="_1F" localSheetId="0">Servente!$D$16</definedName>
    <definedName name="_1F">#REF!</definedName>
    <definedName name="_2.1A" localSheetId="1">Encarregado!$D$22</definedName>
    <definedName name="_2.1A" localSheetId="0">Servente!$D$22</definedName>
    <definedName name="_2.1A">#REF!</definedName>
    <definedName name="_2.1B" localSheetId="1">Encarregado!$D$23</definedName>
    <definedName name="_2.1B" localSheetId="0">Servente!$D$23</definedName>
    <definedName name="_2.1B">#REF!</definedName>
    <definedName name="_2.3A" localSheetId="1">Encarregado!$D$49</definedName>
    <definedName name="_2.3A" localSheetId="0">Servente!$D$49</definedName>
    <definedName name="_2.3A">#REF!</definedName>
    <definedName name="_2.3B" localSheetId="1">Encarregado!$D$50</definedName>
    <definedName name="_2.3B" localSheetId="0">Servente!$D$50</definedName>
    <definedName name="_2.3B">#REF!</definedName>
    <definedName name="_2.3C" localSheetId="1">Encarregado!$D$51</definedName>
    <definedName name="_2.3C" localSheetId="0">Servente!$D$51</definedName>
    <definedName name="_2.3C">#REF!</definedName>
    <definedName name="_2.3D" localSheetId="1">Encarregado!$D$52</definedName>
    <definedName name="_2.3D" localSheetId="0">Servente!$D$52</definedName>
    <definedName name="_2.3D">#REF!</definedName>
    <definedName name="_xlcn.WorksheetConnection_PlanilhaLimpeza.xlsxTable3" hidden="1">Table3</definedName>
    <definedName name="Salário_Normativo_da_Categoria_Profissional" localSheetId="1">Encarregado!$D$5</definedName>
    <definedName name="Salário_Normativo_da_Categoria_Profissional" localSheetId="0">Servente!$D$5</definedName>
    <definedName name="Salário_Normativo_da_Categoria_Profissional">#REF!</definedName>
    <definedName name="SalarioBase" localSheetId="1">Encarregado!$D$5</definedName>
    <definedName name="SalarioBase" localSheetId="0">Servente!$D$5</definedName>
    <definedName name="SalarioBase">#REF!</definedName>
    <definedName name="Total1" localSheetId="1">Encarregado!#REF!</definedName>
    <definedName name="Total1" localSheetId="0">Servente!#REF!</definedName>
    <definedName name="Total1">#REF!</definedName>
    <definedName name="Total2.1" localSheetId="1">Encarregado!#REF!</definedName>
    <definedName name="Total2.1" localSheetId="0">Servente!#REF!</definedName>
    <definedName name="Total2.1">#REF!</definedName>
    <definedName name="Total2.2" localSheetId="1">Encarregado!#REF!</definedName>
    <definedName name="Total2.2" localSheetId="0">Servente!#REF!</definedName>
    <definedName name="Total2.2">#REF!</definedName>
    <definedName name="Total2.3" localSheetId="1">Encarregado!#REF!</definedName>
    <definedName name="Total2.3" localSheetId="0">Servente!#REF!</definedName>
    <definedName name="Total2.3">#REF!</definedName>
  </definedNames>
  <calcPr calcId="144525"/>
</workbook>
</file>

<file path=xl/comments1.xml><?xml version="1.0" encoding="utf-8"?>
<comments xmlns="http://schemas.openxmlformats.org/spreadsheetml/2006/main">
  <authors>
    <author>Daniel Carlos</author>
  </authors>
  <commentList>
    <comment ref="G16" authorId="0">
      <text>
        <r>
          <rPr>
            <b/>
            <sz val="9"/>
            <rFont val="Tahoma"/>
            <charset val="134"/>
          </rPr>
          <t>Daniel Carlos:</t>
        </r>
        <r>
          <rPr>
            <sz val="9"/>
            <rFont val="Tahoma"/>
            <charset val="134"/>
          </rPr>
          <t xml:space="preserve">
Valores que constam no caderno técnico. A unidade deve realizar pesquisa de mercado para o levantamento do percentual médio destas rubricas.</t>
        </r>
      </text>
    </comment>
  </commentList>
</comments>
</file>

<file path=xl/comments2.xml><?xml version="1.0" encoding="utf-8"?>
<comments xmlns="http://schemas.openxmlformats.org/spreadsheetml/2006/main">
  <authors>
    <author>Daniel Carlos</author>
  </authors>
  <commentList>
    <comment ref="G16" authorId="0">
      <text>
        <r>
          <rPr>
            <b/>
            <sz val="9"/>
            <rFont val="Tahoma"/>
            <charset val="134"/>
          </rPr>
          <t>Daniel Carlos:</t>
        </r>
        <r>
          <rPr>
            <sz val="9"/>
            <rFont val="Tahoma"/>
            <charset val="134"/>
          </rPr>
          <t xml:space="preserve">
Valores que constam no caderno técnico. A unidade deve realizar pesquisa de mercado para o levantamento do percentual médio destas rubricas.</t>
        </r>
      </text>
    </comment>
  </commentList>
</comments>
</file>

<file path=xl/comments3.xml><?xml version="1.0" encoding="utf-8"?>
<comments xmlns="http://schemas.openxmlformats.org/spreadsheetml/2006/main">
  <authors>
    <author>Daniel Carlos</author>
  </authors>
  <commentList>
    <comment ref="G16" authorId="0">
      <text>
        <r>
          <rPr>
            <b/>
            <sz val="9"/>
            <rFont val="Tahoma"/>
            <charset val="134"/>
          </rPr>
          <t>Daniel Carlos:</t>
        </r>
        <r>
          <rPr>
            <sz val="9"/>
            <rFont val="Tahoma"/>
            <charset val="134"/>
          </rPr>
          <t xml:space="preserve">
Valores que constam no caderno técnico. A unidade deve realizar pesquisa de mercado para o levantamento do percentual médio destas rubricas.</t>
        </r>
      </text>
    </comment>
  </commentList>
</comments>
</file>

<file path=xl/connections.xml><?xml version="1.0" encoding="utf-8"?>
<connections xmlns="http://schemas.openxmlformats.org/spreadsheetml/2006/main">
  <connection id="1" name="WorksheetConnection_Planilha Limpeza.xlsx!Table3" type="5" refreshedVersion="2" saveData="1">
    <dbPr connection="" command="" commandType="2"/>
  </connection>
</connections>
</file>

<file path=xl/sharedStrings.xml><?xml version="1.0" encoding="utf-8"?>
<sst xmlns="http://schemas.openxmlformats.org/spreadsheetml/2006/main" count="1105" uniqueCount="312">
  <si>
    <t>Dados para composição dos custos referentes a mão de obra</t>
  </si>
  <si>
    <t>Dados Gerais</t>
  </si>
  <si>
    <t>Item</t>
  </si>
  <si>
    <t>Descrição</t>
  </si>
  <si>
    <t>Comentário</t>
  </si>
  <si>
    <t>Valor</t>
  </si>
  <si>
    <t xml:space="preserve">Tipo de Serviço </t>
  </si>
  <si>
    <t>Limpeza</t>
  </si>
  <si>
    <t>Valor do Vale Transporte</t>
  </si>
  <si>
    <t>Classificação Brasileira de Ocupações (CBO)</t>
  </si>
  <si>
    <t xml:space="preserve">5143-20 </t>
  </si>
  <si>
    <t>Valor do Auxílio Alimentação</t>
  </si>
  <si>
    <t>Salário Normativo da Categoria Profissional</t>
  </si>
  <si>
    <t>CCT PB000199/2019 (Grupo 01)</t>
  </si>
  <si>
    <t>Dias de Trabalho no mês</t>
  </si>
  <si>
    <t>Categoria Profissional</t>
  </si>
  <si>
    <t xml:space="preserve"> CCT PB000199/2019</t>
  </si>
  <si>
    <t>Servente de Limpeza</t>
  </si>
  <si>
    <t>RAT x SAT</t>
  </si>
  <si>
    <t>Data-Base da Categoria</t>
  </si>
  <si>
    <t>01 de Janeiro</t>
  </si>
  <si>
    <t>Dados sobre Desligamento</t>
  </si>
  <si>
    <t>Módulo 1 - Composição da Remuneração</t>
  </si>
  <si>
    <t>Tipos</t>
  </si>
  <si>
    <t>Percentual</t>
  </si>
  <si>
    <t>1</t>
  </si>
  <si>
    <t>Composição da Remuneração</t>
  </si>
  <si>
    <t>SEM justa causa - AP INDENIZADO</t>
  </si>
  <si>
    <t>A</t>
  </si>
  <si>
    <t>Salário-Base</t>
  </si>
  <si>
    <t>SEM justa causa - AP TRABALHADO</t>
  </si>
  <si>
    <t>B</t>
  </si>
  <si>
    <t>Adicional de Periculosidade</t>
  </si>
  <si>
    <t>Demissões COM justa causa</t>
  </si>
  <si>
    <t>C</t>
  </si>
  <si>
    <t>Adicional de Insalubridade</t>
  </si>
  <si>
    <t>D</t>
  </si>
  <si>
    <t>Adicional Noturno</t>
  </si>
  <si>
    <t>CITL</t>
  </si>
  <si>
    <t>E</t>
  </si>
  <si>
    <t>Adicional de Hora Noturna Reduzida</t>
  </si>
  <si>
    <t>F</t>
  </si>
  <si>
    <t>Outros (especificar)</t>
  </si>
  <si>
    <t>Custos indiretos</t>
  </si>
  <si>
    <t>Total</t>
  </si>
  <si>
    <t>Lucro</t>
  </si>
  <si>
    <t>PIS</t>
  </si>
  <si>
    <t>Módulo 2 - Encargos e Benefícios Anuais, Mensais e Diários</t>
  </si>
  <si>
    <t>COFINS</t>
  </si>
  <si>
    <t> Submódulo 2.1 - 13º (décimo terceiro) Salário e Adicional de Férias</t>
  </si>
  <si>
    <t>ISS</t>
  </si>
  <si>
    <t>2.1</t>
  </si>
  <si>
    <t>13º (décimo terceiro) Salário e Adicional de Férias</t>
  </si>
  <si>
    <t>13º (décimo terceiro) Salário</t>
  </si>
  <si>
    <t>Base de Cálculo para o Custo do Profissional Ausente</t>
  </si>
  <si>
    <t>Adicional de Férias</t>
  </si>
  <si>
    <t>BCPPA</t>
  </si>
  <si>
    <t>BCPPA (Afastamento Maternidade)</t>
  </si>
  <si>
    <t>Memória de Cálculo - Submódulo 2.1</t>
  </si>
  <si>
    <t>Rubrica</t>
  </si>
  <si>
    <t>Base de Cálculo</t>
  </si>
  <si>
    <t>Memória de Cálculo</t>
  </si>
  <si>
    <t>13 º (décimo terceiro) Salário</t>
  </si>
  <si>
    <t>Módulo 1 (Total)</t>
  </si>
  <si>
    <t>8,33%  x Base de Cálculo, Sendo 8,33% = 1 ÷ 12</t>
  </si>
  <si>
    <t>Base de Cálculo x (1 ÷ 3)</t>
  </si>
  <si>
    <t>Submódulo 2.2 - Encargos Previdenciários (GPS), Fundo de Garantia por Tempo de Serviço (FGTS) e outras contribuições.</t>
  </si>
  <si>
    <t>2.2</t>
  </si>
  <si>
    <t>GPS, FGTS e outras contribuições</t>
  </si>
  <si>
    <t xml:space="preserve">Valor </t>
  </si>
  <si>
    <t>INSS</t>
  </si>
  <si>
    <t>Salário Educação</t>
  </si>
  <si>
    <t>SAT</t>
  </si>
  <si>
    <t>SESC ou SESI</t>
  </si>
  <si>
    <t>SENAI - SENAC</t>
  </si>
  <si>
    <t>SEBRAE</t>
  </si>
  <si>
    <t>G</t>
  </si>
  <si>
    <t>INCRA</t>
  </si>
  <si>
    <t>H</t>
  </si>
  <si>
    <t>FGTS</t>
  </si>
  <si>
    <t>Memória de Cálculo - Submódulo 2.2</t>
  </si>
  <si>
    <t>A a H</t>
  </si>
  <si>
    <t>Módulo 1 (Total) + Submódulo 2.1</t>
  </si>
  <si>
    <t>Alíquota x Base de Cálculo</t>
  </si>
  <si>
    <t>Submódulo 2.3 - Benefícios Mensais e Diários.</t>
  </si>
  <si>
    <t>2.3</t>
  </si>
  <si>
    <t>Benefícios Mensais e Diários</t>
  </si>
  <si>
    <t>Transporte</t>
  </si>
  <si>
    <t>Auxílio-Refeição/Alimentação</t>
  </si>
  <si>
    <t>Seguro de Vida</t>
  </si>
  <si>
    <t>Auxílio-Morte/Funeral</t>
  </si>
  <si>
    <t>Cláusula Décima Sexta da CCT</t>
  </si>
  <si>
    <t>Benefício Odontológico</t>
  </si>
  <si>
    <t>Cláusula Décima Quarta da CCT</t>
  </si>
  <si>
    <t>Memória de Cálculo - Submódulo 2.3</t>
  </si>
  <si>
    <t>-</t>
  </si>
  <si>
    <t>(Valor do Vale x 2 Vales/dia x Dias de Trabalho) - 6% x Salário Base</t>
  </si>
  <si>
    <t>(Valor do Vale Alim. x Qtde. Dias de Trab)  x 80%</t>
  </si>
  <si>
    <t>Quadro-Resumo do Módulo 2 - Encargos e Benefícios anuais, mensais e diários</t>
  </si>
  <si>
    <t>2</t>
  </si>
  <si>
    <t>Encargos e Benefícios Anuais, Mensais e Diários</t>
  </si>
  <si>
    <t>Módulo 3 - Provisão para Rescisão</t>
  </si>
  <si>
    <t>3</t>
  </si>
  <si>
    <t>Provisão para Rescisão</t>
  </si>
  <si>
    <t>Aviso Prévio Indenizado</t>
  </si>
  <si>
    <t>Incidência do FGTS sobre o Aviso Prévio Indenizado</t>
  </si>
  <si>
    <t>Multa do FGTS e contribuição social sobre o Aviso Prévio Indenizado</t>
  </si>
  <si>
    <t>Aviso Prévio Trabalhado</t>
  </si>
  <si>
    <t>Multa do FGTS e contribuição social sobre o Aviso Prévio Trabalhado</t>
  </si>
  <si>
    <t>(-)Demissão por justa causa</t>
  </si>
  <si>
    <t>Memória de Cálculo - Módulo 3</t>
  </si>
  <si>
    <t>Módulo 1 (Total) + Submódulo 2.1 + Submódulo 2.3</t>
  </si>
  <si>
    <t>(Base de Cálculo / 12) x Percentual de AP Indenizado (Tabela "Dados sobre desligamento")</t>
  </si>
  <si>
    <t>Item H do submódulo 2.2 (FGTS)</t>
  </si>
  <si>
    <t>Base de Cálculo x 50 % (40% de multa + 10% contribuição social) x Percentual de AP Indenizado (Tabela "Dados sobre desligamento")</t>
  </si>
  <si>
    <t>Módulo 1 (Total) + Módulo 2 (Total)</t>
  </si>
  <si>
    <t>(Base de Cálculo / 12) x Percentual de AP Trabalhado (Tabela "Dados sobre desligamento")</t>
  </si>
  <si>
    <t>Base de Cálculo x 50 % (40% de multa + 10% contribuição social) x Percentual de AP Trabalhado (Tabela "Dados sobre desligamento")</t>
  </si>
  <si>
    <t>Submódulo 2.1</t>
  </si>
  <si>
    <t>Base de Cálculo x Percentual de Demissões COM justa Causa (Tabela "Dados sobre desligamento")</t>
  </si>
  <si>
    <t xml:space="preserve">Módulo 4 - Custo de Reposição do Profissional Ausente
</t>
  </si>
  <si>
    <t>Submódulo 4.1 - Substituto nas Ausências Legais</t>
  </si>
  <si>
    <t>4.1</t>
  </si>
  <si>
    <t>Substituto nas Ausências Legais</t>
  </si>
  <si>
    <t>Dias de ausência</t>
  </si>
  <si>
    <t>Substituto na cobertura de Férias</t>
  </si>
  <si>
    <t>Substituto na cobertura de Ausências Legais</t>
  </si>
  <si>
    <t>Substituto na cobertura de Licença-Paternidade</t>
  </si>
  <si>
    <t>Substituto na cobertura de Ausência por acidente de trabalho</t>
  </si>
  <si>
    <t>Substituto na cobertura de Afastamento Maternidade</t>
  </si>
  <si>
    <t>Substituto na cobertura de Ausência por Doença</t>
  </si>
  <si>
    <t>Memória de Cálculo - Módulo 4</t>
  </si>
  <si>
    <t>A a F</t>
  </si>
  <si>
    <t>Dias de Ausência conforme caderno técnico de limpeza/PB 2018, p. 20.</t>
  </si>
  <si>
    <t>A, B, C, D e F</t>
  </si>
  <si>
    <t>Valor das rubricas</t>
  </si>
  <si>
    <t xml:space="preserve">Custo diário para o repositor = (Módulo 1 + SubMódulo 2.1 + (Módulo1 / 12) * (100% + Submódulo 2.2 (%)) / 30 </t>
  </si>
  <si>
    <t>(Base de cálculo x Dias de Ausência) / 12</t>
  </si>
  <si>
    <t>Valor das Rubricas</t>
  </si>
  <si>
    <t>Custo diário para o repositor (afastamento maternidade) = ([Módulo 1 x (1 +1/3) x (100% + % sbmódulo 2.2) ]/12 )/ 30</t>
  </si>
  <si>
    <t>Submódulo 4.2 - Substituto na Intrajornada</t>
  </si>
  <si>
    <t>4.2</t>
  </si>
  <si>
    <t>Substituto na Intrajornada </t>
  </si>
  <si>
    <t>Substituto na cobertura de Intervalo para repouso ou alimentação</t>
  </si>
  <si>
    <t>Quadro-Resumo do Módulo 4 - Custo de Reposição do Profissional Ausente</t>
  </si>
  <si>
    <t>4</t>
  </si>
  <si>
    <t>Custo de Reposição do Profissional Ausente</t>
  </si>
  <si>
    <t>Substituto na Intrajornada</t>
  </si>
  <si>
    <t>Módulo 5 - Insumos Diversos</t>
  </si>
  <si>
    <t>5</t>
  </si>
  <si>
    <t>Insumos Diversos</t>
  </si>
  <si>
    <t>Uniformes</t>
  </si>
  <si>
    <t>Materiais</t>
  </si>
  <si>
    <t>Equipamentos</t>
  </si>
  <si>
    <t>EPI</t>
  </si>
  <si>
    <t>Memória de Cálculo - Módulo 5</t>
  </si>
  <si>
    <t>Tabela Uniformes Serventes</t>
  </si>
  <si>
    <t>Total da Tabela Materiais</t>
  </si>
  <si>
    <t>Base de Cálculo / Qtde. de Serventes</t>
  </si>
  <si>
    <t>Custo total dos equipamentos (Manutenção + Depreciação)</t>
  </si>
  <si>
    <t>Módulo 6 - Custos Indiretos, Tributos e Lucro</t>
  </si>
  <si>
    <t>6</t>
  </si>
  <si>
    <t>Custos Indiretos, Tributos e Lucro</t>
  </si>
  <si>
    <t>Custos Indiretos</t>
  </si>
  <si>
    <t>Tributos</t>
  </si>
  <si>
    <t>C.1</t>
  </si>
  <si>
    <t>C.2</t>
  </si>
  <si>
    <t>C.3</t>
  </si>
  <si>
    <t>QUADRO-RESUMO DO CUSTO POR EMPREGADO</t>
  </si>
  <si>
    <t>Mão de obra vinculada à execução contratual</t>
  </si>
  <si>
    <t>Módulo 4 - Custo de Reposição do Profissional Ausente</t>
  </si>
  <si>
    <t>Subtotal (A + B +C+ D+E)</t>
  </si>
  <si>
    <t>Valor Total por Empregado</t>
  </si>
  <si>
    <t>Encarregado</t>
  </si>
  <si>
    <t>5143-20</t>
  </si>
  <si>
    <t xml:space="preserve"> CCT PB00041/2020 (GRUPO I)</t>
  </si>
  <si>
    <t xml:space="preserve"> CCT PB00041/2020</t>
  </si>
  <si>
    <t>ASG</t>
  </si>
  <si>
    <t>Quantidade de Profissionais</t>
  </si>
  <si>
    <t>Salário Mínimo Vigente*</t>
  </si>
  <si>
    <t>*Lei n.° 14.013, de 10 de junlho de 2020</t>
  </si>
  <si>
    <t>CCT PB00041/2020 (Cláusula 9ª)</t>
  </si>
  <si>
    <t>BASE DE CÁLCULO PARA O SUBMÓDULO 2.2</t>
  </si>
  <si>
    <t>MÓDULO 1</t>
  </si>
  <si>
    <t>MÓDULO 2.1</t>
  </si>
  <si>
    <t>TOTAL</t>
  </si>
  <si>
    <t>Incidência de GPS, FGTS e outras contribuições sobre o Aviso Prévio Trabalhado</t>
  </si>
  <si>
    <t>BASE DE CÁLCULO PARA O MÓDULO 4</t>
  </si>
  <si>
    <t>MÓDULO 2</t>
  </si>
  <si>
    <t>MÓDULO 3</t>
  </si>
  <si>
    <t>Substituto na cobertura de Outras ausências (especificar)</t>
  </si>
  <si>
    <t>Uniformes e EPI</t>
  </si>
  <si>
    <t>EPC</t>
  </si>
  <si>
    <t>BASE DE CÁLCULO PARA O MÓDULO 6</t>
  </si>
  <si>
    <t>MÓDULO 4</t>
  </si>
  <si>
    <t>MÓDULO 5</t>
  </si>
  <si>
    <t>CÁLCULO POR DENTRO</t>
  </si>
  <si>
    <t>TOTAL DOS TRIBUTOS</t>
  </si>
  <si>
    <t>BASE DE CÁLCULO</t>
  </si>
  <si>
    <t>ÍNDICE</t>
  </si>
  <si>
    <t>INSUMOS E MATERIAIS</t>
  </si>
  <si>
    <t>ITEM</t>
  </si>
  <si>
    <t>DESCRIÇÃO</t>
  </si>
  <si>
    <t>UNIDADE</t>
  </si>
  <si>
    <t xml:space="preserve">  VALOR UNITÁRIO ESTIMADO(R$) </t>
  </si>
  <si>
    <t>QUANTIDADE</t>
  </si>
  <si>
    <t>VALOR TOTAL  (R$)</t>
  </si>
  <si>
    <r>
      <rPr>
        <b/>
        <sz val="11"/>
        <color theme="1"/>
        <rFont val="Calibri"/>
        <charset val="134"/>
        <scheme val="minor"/>
      </rPr>
      <t xml:space="preserve">ÁLCOOL ETÍLICO 70% </t>
    </r>
    <r>
      <rPr>
        <sz val="11"/>
        <color theme="1"/>
        <rFont val="Calibri"/>
        <charset val="134"/>
        <scheme val="minor"/>
      </rPr>
      <t>- Álcool etílico limpeza de ambientes, tipo: etílico hidratado, características adicionais: líquido, concentração: 70%. CARACTERÍSTICAS ADICIONAIS: Com atividade antibacteriana, instantâneo , para higienização antisseptica, e redução da carga de mícroorganismo, com eliminação superior a 99,0% dos germes causadores de infeccões cruzadas ou possíveis contaminações decorrentes de contatos pelas mãos, formulação atóxica, associado a emolientes, sem corante, sem fragância. Registro no Ministério da Saúde / ANVISA. Apresentação: Embalagem 5 Litros.</t>
    </r>
  </si>
  <si>
    <t>UND</t>
  </si>
  <si>
    <r>
      <rPr>
        <b/>
        <sz val="10"/>
        <color theme="1"/>
        <rFont val="Arial"/>
        <charset val="134"/>
      </rPr>
      <t>ÁGUA SANITÁRIA -</t>
    </r>
    <r>
      <rPr>
        <sz val="10"/>
        <color theme="1"/>
        <rFont val="Arial"/>
        <charset val="134"/>
      </rPr>
      <t xml:space="preserve"> composição química: hipoclorito de sódio (NaClO),  teor cloro ativo: varia de 2 a 2,50%, cor: incolor, aplicação: lavagem e alvejante de roupas, banheiros, pias e assemelhados. Registro no Ministério da Saúde / ANVISA. Apresentação: Embalagem 5 Litros.</t>
    </r>
  </si>
  <si>
    <r>
      <rPr>
        <b/>
        <sz val="10"/>
        <color theme="1"/>
        <rFont val="Arial"/>
        <charset val="134"/>
      </rPr>
      <t>LUVA DE LATEX</t>
    </r>
    <r>
      <rPr>
        <sz val="10"/>
        <color theme="1"/>
        <rFont val="Arial"/>
        <charset val="134"/>
      </rPr>
      <t xml:space="preserve"> - Luva de segurança confeccionada em látex natural forrada internamente com flocos de algodão acabamento antiderrapante na palma face palmar dos dedos extremidade dos dedos. Tamanhos: P, M e G. Apresentação: PAR</t>
    </r>
  </si>
  <si>
    <r>
      <rPr>
        <b/>
        <sz val="10"/>
        <color theme="1"/>
        <rFont val="Arial"/>
        <charset val="134"/>
      </rPr>
      <t>CÊRA ACRÍLICA</t>
    </r>
    <r>
      <rPr>
        <sz val="10"/>
        <color theme="1"/>
        <rFont val="Arial"/>
        <charset val="134"/>
      </rPr>
      <t xml:space="preserve"> - Cêra acrílica auto brilho para acabamento e proteção de pisos e laminados. Aspecto: Líquido leitoso, pH (tal qual): 7,5 – 8,8, Teor de sólidos não voláteis: 20%. COMPOSIÇÃO: Agente formador de filme, plastificante, aditivo, adjuvante, coadjuvante, agente nivelador, conservante e água. Princípio ativo: Polímero Acrílico 15%. Apresentação: Embalagem com 5 Litros.</t>
    </r>
  </si>
  <si>
    <r>
      <rPr>
        <b/>
        <sz val="10"/>
        <color theme="1"/>
        <rFont val="Arial"/>
        <charset val="134"/>
      </rPr>
      <t>VASELINA LÍQUIDA</t>
    </r>
    <r>
      <rPr>
        <sz val="10"/>
        <color theme="1"/>
        <rFont val="Arial"/>
        <charset val="134"/>
      </rPr>
      <t xml:space="preserve"> - Vaselina líquida para uso geral, Natureza Química: hidrocarboneto alifático hidrogenado, Sinônimos: Óleo mineral, parafina líquida. Com propriedades de proteção, lubrificação, limpeza e brilho sem deixar cheiro ou manchas nas superfícies aplicadas. Apresentação: Embalagem com 1 Litro.</t>
    </r>
  </si>
  <si>
    <r>
      <rPr>
        <b/>
        <sz val="10"/>
        <color theme="1"/>
        <rFont val="Arial"/>
        <charset val="134"/>
      </rPr>
      <t>POLIDOR DE METAIS -</t>
    </r>
    <r>
      <rPr>
        <sz val="10"/>
        <color theme="1"/>
        <rFont val="Arial"/>
        <charset val="134"/>
      </rPr>
      <t xml:space="preserve"> Polidor, aspecto físico: líquido branco amarelado, suspensão leitosa, está-, aplicação: limpeza de metais. Apresentação: Embalagem com 200 ml</t>
    </r>
  </si>
  <si>
    <r>
      <rPr>
        <b/>
        <sz val="10"/>
        <color theme="1"/>
        <rFont val="Arial"/>
        <charset val="134"/>
      </rPr>
      <t>CLORO LÍQUIDO</t>
    </r>
    <r>
      <rPr>
        <sz val="10"/>
        <color theme="1"/>
        <rFont val="Arial"/>
        <charset val="134"/>
      </rPr>
      <t xml:space="preserve"> - Hipoclorito de sódio, aspecto: Líquido transparente, Cor: Levemente amarelado, pH: 12 ± 1,  teor de CLORO ATIVO: 5.0% ± 0,5. Apresentação: Embalagem com 5 Litros.</t>
    </r>
  </si>
  <si>
    <r>
      <rPr>
        <b/>
        <sz val="10"/>
        <color theme="1"/>
        <rFont val="Arial"/>
        <charset val="134"/>
      </rPr>
      <t>ÁCIDO MURIÁTICO -</t>
    </r>
    <r>
      <rPr>
        <sz val="10"/>
        <color theme="1"/>
        <rFont val="Arial"/>
        <charset val="134"/>
      </rPr>
      <t xml:space="preserve"> Limpador base ácida, composição básica: ácido sulfônico, fluorídrico e muriático, aspecto físico: líquido, cor: incolor, aplicação: limpeza de pisos, características adicionais: biodegradável. Embalagem com 5 Litros.</t>
    </r>
  </si>
  <si>
    <r>
      <rPr>
        <b/>
        <sz val="10"/>
        <color theme="1"/>
        <rFont val="Arial"/>
        <charset val="134"/>
      </rPr>
      <t xml:space="preserve">SODA CÁUSTICA - </t>
    </r>
    <r>
      <rPr>
        <sz val="10"/>
        <color theme="1"/>
        <rFont val="Arial"/>
        <charset val="134"/>
      </rPr>
      <t>Hidróxido de sódio, aspecto físico: escamas esbranquiçadas, altamente higroscópico, peso molecular: 40 g,mol, fórmula química: naoh, grau de pureza: pureza mínima de 95%, característica adicional: soda cáustica comercial, número de referência química: cas 1310-73-2. Apresentação: Embalagem com 1 KG.</t>
    </r>
  </si>
  <si>
    <r>
      <rPr>
        <b/>
        <sz val="10"/>
        <color theme="1"/>
        <rFont val="Arial"/>
        <charset val="134"/>
      </rPr>
      <t>DESINFETANTE DE USO GERAL</t>
    </r>
    <r>
      <rPr>
        <sz val="10"/>
        <color theme="1"/>
        <rFont val="Arial"/>
        <charset val="134"/>
      </rPr>
      <t xml:space="preserve"> - Desinfetante, composição: à base de quaternário de amônio, características adicionais: com aroma, princípio ativo: cloreto alquil dimetil benzil amônio +tensioativos, teor ativo: teor ativo em torno de 0,4%. Registro no Ministério da Saúde / ANVISA. Apresentação: Embalagem 5 Litros.</t>
    </r>
  </si>
  <si>
    <r>
      <rPr>
        <b/>
        <sz val="10"/>
        <color theme="1"/>
        <rFont val="Arial"/>
        <charset val="134"/>
      </rPr>
      <t>DETERGENTE DE USO GERAL</t>
    </r>
    <r>
      <rPr>
        <sz val="10"/>
        <color theme="1"/>
        <rFont val="Arial"/>
        <charset val="134"/>
      </rPr>
      <t xml:space="preserve"> - Detergente, composição: tensoativo aniônico,amônica alcalizante e sequestr, aplicação: limpeza em geral, características adicionais: ph 10,5 a 11,5, aspecto físico: líquido. Apresentação: Embalagem com 5 litros.</t>
    </r>
  </si>
  <si>
    <r>
      <rPr>
        <b/>
        <sz val="10"/>
        <color theme="1"/>
        <rFont val="Arial"/>
        <charset val="134"/>
      </rPr>
      <t>SABONETE LÍQUIDO NEUTRO</t>
    </r>
    <r>
      <rPr>
        <sz val="10"/>
        <color theme="1"/>
        <rFont val="Arial"/>
        <charset val="134"/>
      </rPr>
      <t xml:space="preserve"> - Sabonete líquido, aspecto físico: líquido cremoso em gel, acidez: neutro, aplicação: assepsia das mãos, características adicionais: biodegradável: 90%, composição: dietanolamida de ácido graxo, cocoamidopropil beta, aroma: talco. Registro no Ministério da Saúde / ANVISA. Apresentação: Embalagem 5 Litros</t>
    </r>
  </si>
  <si>
    <r>
      <rPr>
        <b/>
        <sz val="10"/>
        <color theme="1"/>
        <rFont val="Arial"/>
        <charset val="134"/>
      </rPr>
      <t xml:space="preserve">ESPONJA MULTIUSO LIMPEZA PESADA - </t>
    </r>
    <r>
      <rPr>
        <sz val="10"/>
        <color theme="1"/>
        <rFont val="Arial"/>
        <charset val="134"/>
      </rPr>
      <t>Esponja multiuso para limpeza pesada, Dimensões Aproximadas: 101x225mm; Matéria Prima: Fibra Sintética com abrasivo. Apresentação:  Embalagem com 10 unidades.</t>
    </r>
  </si>
  <si>
    <r>
      <rPr>
        <b/>
        <sz val="10"/>
        <color theme="1"/>
        <rFont val="Arial"/>
        <charset val="134"/>
      </rPr>
      <t>ESPONJA MULTIUSO PARA LIMPEZA DE BANHEIROS</t>
    </r>
    <r>
      <rPr>
        <sz val="10"/>
        <color theme="1"/>
        <rFont val="Arial"/>
        <charset val="134"/>
      </rPr>
      <t xml:space="preserve"> - Manta não tecido, de fibras sintéticas, unidas com resina a prova d’água, impregnada com mineral abrasivo e aderida à espuma de poliuretano. Dimensões (mm): 100 x 71, Espessura total (mm): mínimo 20. Cor: Amarelo (espuma) e verde (fibra). Apresentação: Embalagem com 3 unidades. 
</t>
    </r>
  </si>
  <si>
    <r>
      <rPr>
        <b/>
        <sz val="10"/>
        <color theme="1"/>
        <rFont val="Arial"/>
        <charset val="134"/>
      </rPr>
      <t xml:space="preserve">PANO MULTIUSO </t>
    </r>
    <r>
      <rPr>
        <sz val="10"/>
        <color theme="1"/>
        <rFont val="Arial"/>
        <charset val="134"/>
      </rPr>
      <t>- Pano 100% microfibra, multiuso, dimenções aproximadas: 30 x 30 cm, 200 g/m². Apresentação: Embalagem com 3 unidades.</t>
    </r>
  </si>
  <si>
    <r>
      <rPr>
        <b/>
        <sz val="10"/>
        <color theme="1"/>
        <rFont val="Arial"/>
        <charset val="134"/>
      </rPr>
      <t xml:space="preserve">FLANELA - </t>
    </r>
    <r>
      <rPr>
        <sz val="10"/>
        <color theme="1"/>
        <rFont val="Arial"/>
        <charset val="134"/>
      </rPr>
      <t>Flanela, material: 100% algodão, comprimento: 50 cm, largura: 30 cm, cor: branca.</t>
    </r>
  </si>
  <si>
    <r>
      <rPr>
        <b/>
        <sz val="10"/>
        <color theme="1"/>
        <rFont val="Arial"/>
        <charset val="134"/>
      </rPr>
      <t>LÃ DE AÇO</t>
    </r>
    <r>
      <rPr>
        <sz val="10"/>
        <color theme="1"/>
        <rFont val="Arial"/>
        <charset val="134"/>
      </rPr>
      <t xml:space="preserve"> - Composição: aço carbono, tipo fina, 60 g. Apesentação: Embalagem com 8 unidades.</t>
    </r>
  </si>
  <si>
    <r>
      <rPr>
        <b/>
        <sz val="10"/>
        <color theme="1"/>
        <rFont val="Arial"/>
        <charset val="134"/>
      </rPr>
      <t>PANO DE CHÃO</t>
    </r>
    <r>
      <rPr>
        <sz val="10"/>
        <color theme="1"/>
        <rFont val="Arial"/>
        <charset val="134"/>
      </rPr>
      <t xml:space="preserve"> - Pano de chão alvejado, em algodão, dimenções aproximadas: 70 x 50 cm.</t>
    </r>
  </si>
  <si>
    <r>
      <rPr>
        <b/>
        <sz val="10"/>
        <color theme="1"/>
        <rFont val="Arial"/>
        <charset val="134"/>
      </rPr>
      <t xml:space="preserve">PAPEL TOALHA INTERFOLHADO - </t>
    </r>
    <r>
      <rPr>
        <sz val="10"/>
        <color theme="1"/>
        <rFont val="Arial"/>
        <charset val="134"/>
      </rPr>
      <t>Toalha de papel, material: 100% fibra celulose virgem, tipo folha: interfolha, 2 dobras, dimenções aproximadas: 22 cm, largura: 21,50 cm, cor: branca, características adicionais: gofrado, gramatura: 23 g/m². Apresentação: fardo com 1000 folhas</t>
    </r>
  </si>
  <si>
    <r>
      <rPr>
        <b/>
        <sz val="10"/>
        <color theme="1"/>
        <rFont val="Arial"/>
        <charset val="134"/>
      </rPr>
      <t xml:space="preserve">PAPEL HIGIÊNICO FOLHA DUPLA - </t>
    </r>
    <r>
      <rPr>
        <sz val="10"/>
        <color theme="1"/>
        <rFont val="Arial"/>
        <charset val="134"/>
      </rPr>
      <t>Papel higiênico, material: celulose virgem, com pré-bio dermatológico, que tem a função de preservar o pH natural da pele, largura: 10 cm, comprimento: 30 m, cor: branca, características adicionais: picotado, folha dupla. Apresentação: Fardo com 64 rolos.</t>
    </r>
  </si>
  <si>
    <r>
      <rPr>
        <b/>
        <sz val="10"/>
        <color theme="1"/>
        <rFont val="Arial"/>
        <charset val="134"/>
      </rPr>
      <t>ALVEJANTE MULTIUSO</t>
    </r>
    <r>
      <rPr>
        <sz val="10"/>
        <color theme="1"/>
        <rFont val="Arial"/>
        <charset val="134"/>
      </rPr>
      <t xml:space="preserve"> - Solução limpeza multiuso, composição básica: água sanitária, alvejante e desinfetante, aspecto físico: líquido, aplicação: limpeza geral, características adicionais: tampa dosadora de fluxo. Apresentação: Embalagem com 5 Litros.</t>
    </r>
  </si>
  <si>
    <r>
      <rPr>
        <b/>
        <sz val="10"/>
        <color theme="1"/>
        <rFont val="Arial"/>
        <charset val="134"/>
      </rPr>
      <t xml:space="preserve">LIMPA VIDROS - </t>
    </r>
    <r>
      <rPr>
        <sz val="10"/>
        <color theme="1"/>
        <rFont val="Arial"/>
        <charset val="134"/>
      </rPr>
      <t>Limpa-vidro, aspecto físico: líquido, composição: lauril éter, sulfato de sódio, características adicionais: pulverizador com gatilho. Apresentação: Embalgem com 500 ml</t>
    </r>
  </si>
  <si>
    <r>
      <rPr>
        <b/>
        <sz val="10"/>
        <color theme="1"/>
        <rFont val="Arial"/>
        <charset val="134"/>
      </rPr>
      <t xml:space="preserve">DESODORIZADOR SANITÁRIO </t>
    </r>
    <r>
      <rPr>
        <sz val="10"/>
        <color theme="1"/>
        <rFont val="Arial"/>
        <charset val="134"/>
      </rPr>
      <t>- Desodorizador sanitário, em gel adesivo, essência e corante, peso líquido 35 a 48 gr, essências diversas, com aplicador. Apresentação: Embalagem com 6 discos.</t>
    </r>
  </si>
  <si>
    <r>
      <rPr>
        <b/>
        <sz val="10"/>
        <color theme="1"/>
        <rFont val="Arial"/>
        <charset val="134"/>
      </rPr>
      <t>DESODORIZADOR DE AMBIENTE</t>
    </r>
    <r>
      <rPr>
        <sz val="10"/>
        <color theme="1"/>
        <rFont val="Arial"/>
        <charset val="134"/>
      </rPr>
      <t xml:space="preserve"> - Desodorizador, essência: neutra, apresentação: aerosol, aplicação: aromatizador ambiental, características adicionais: não contenha CFC. Apresentação: Embalagem com 360 ml.</t>
    </r>
  </si>
  <si>
    <r>
      <rPr>
        <b/>
        <sz val="10"/>
        <color theme="1"/>
        <rFont val="Arial"/>
        <charset val="134"/>
      </rPr>
      <t xml:space="preserve">QUEROSENE - </t>
    </r>
    <r>
      <rPr>
        <sz val="10"/>
        <color theme="1"/>
        <rFont val="Arial"/>
        <charset val="134"/>
      </rPr>
      <t xml:space="preserve">Querosene iluminante, Aspecto: Líquido límpido, incolor a amarelo pálido; de odor característico desagradável. Faixa de destilação (a 760 mmHg): 150 a 290 °C, Densidade (20/4 o C): 0,760 a 0,840, Solubilidade: Solúvel em solventes orgânicos. Apresentação: Embalabem com 900 ml.  </t>
    </r>
  </si>
  <si>
    <r>
      <rPr>
        <b/>
        <sz val="10"/>
        <color theme="1"/>
        <rFont val="Arial"/>
        <charset val="134"/>
      </rPr>
      <t>SABÃO EM PÓ -</t>
    </r>
    <r>
      <rPr>
        <sz val="10"/>
        <color theme="1"/>
        <rFont val="Arial"/>
        <charset val="134"/>
      </rPr>
      <t xml:space="preserve"> Sabão em pó, aplicação: limpeza geral, aspecto físico: pó, características adicionais: biodegradável. Apresentação: Embalagem com 5,0 kg.</t>
    </r>
  </si>
  <si>
    <r>
      <rPr>
        <b/>
        <sz val="10"/>
        <color theme="1"/>
        <rFont val="Arial"/>
        <charset val="134"/>
      </rPr>
      <t>SABÃO EM BARRA -</t>
    </r>
    <r>
      <rPr>
        <sz val="10"/>
        <color theme="1"/>
        <rFont val="Arial"/>
        <charset val="134"/>
      </rPr>
      <t xml:space="preserve"> Sabão barra, composição básica: sais + ácido graxo, tipo: com alvejante, características adicionais: neutro, peso: 200 g, formato: retangular. Apresentação: Embalagem com 5 unidades.</t>
    </r>
  </si>
  <si>
    <r>
      <rPr>
        <b/>
        <sz val="10"/>
        <color theme="1"/>
        <rFont val="Arial"/>
        <charset val="134"/>
      </rPr>
      <t>SACO PARA LIXO 100 L</t>
    </r>
    <r>
      <rPr>
        <sz val="10"/>
        <color theme="1"/>
        <rFont val="Arial"/>
        <charset val="134"/>
      </rPr>
      <t xml:space="preserve"> - Saco plástico lixo, capacidade: 100 l, cor: preta, aplicação: coleta de lixo, material: polietileno. Apresentação: Embalagem com 100 unidades.</t>
    </r>
  </si>
  <si>
    <r>
      <rPr>
        <b/>
        <sz val="10"/>
        <color theme="1"/>
        <rFont val="Arial"/>
        <charset val="134"/>
      </rPr>
      <t>SACO PARA LIXO 60 L</t>
    </r>
    <r>
      <rPr>
        <sz val="10"/>
        <color theme="1"/>
        <rFont val="Arial"/>
        <charset val="134"/>
      </rPr>
      <t xml:space="preserve"> - Saco plástico lixo, capacidade: 60 l, cor: preta, aplicação: coleta de lixo, material: polietileno. Apresentação: Embalagem com 100 unidades.</t>
    </r>
  </si>
  <si>
    <r>
      <rPr>
        <b/>
        <sz val="10"/>
        <color theme="1"/>
        <rFont val="Arial"/>
        <charset val="134"/>
      </rPr>
      <t xml:space="preserve">SACO PARA LIXO 40 L - </t>
    </r>
    <r>
      <rPr>
        <sz val="10"/>
        <color theme="1"/>
        <rFont val="Arial"/>
        <charset val="134"/>
      </rPr>
      <t>Saco plástico lixo, capacidade: 40 l, cor: preta, aplicação: coleta de lixo, material: polietileno. Apresentação: Embalagem com 100 unidades.</t>
    </r>
  </si>
  <si>
    <r>
      <rPr>
        <b/>
        <sz val="10"/>
        <color theme="1"/>
        <rFont val="Arial"/>
        <charset val="134"/>
      </rPr>
      <t xml:space="preserve">SACO PARA LIXO 15 L - </t>
    </r>
    <r>
      <rPr>
        <sz val="10"/>
        <color theme="1"/>
        <rFont val="Arial"/>
        <charset val="134"/>
      </rPr>
      <t>Saco plástico para lixo, capacidade: 15 l, largura: 39 cm, altura: 58 cm, aplicação: coleta de lixo, material: plástico biodegradável. Apresentação: Embalagem com 100 unidades.</t>
    </r>
  </si>
  <si>
    <r>
      <rPr>
        <b/>
        <sz val="10"/>
        <color theme="1"/>
        <rFont val="Arial"/>
        <charset val="134"/>
      </rPr>
      <t xml:space="preserve">VASSOURA DE TETO VASCULHO - </t>
    </r>
    <r>
      <rPr>
        <sz val="10"/>
        <color theme="1"/>
        <rFont val="Arial"/>
        <charset val="134"/>
      </rPr>
      <t>Vassoura, material cerdas: sisal, material cabo: madeira, tipo: vasculho, aplicação: limpeza teto, comprimento cabo: 170 cm</t>
    </r>
  </si>
  <si>
    <r>
      <rPr>
        <b/>
        <sz val="10"/>
        <color theme="1"/>
        <rFont val="Arial"/>
        <charset val="134"/>
      </rPr>
      <t xml:space="preserve">VASSOURA PÊLO SINTÉTICA 60 CM </t>
    </r>
    <r>
      <rPr>
        <sz val="10"/>
        <color theme="1"/>
        <rFont val="Arial"/>
        <charset val="134"/>
      </rPr>
      <t>- Vassoura, material cerdas: pêlo sintético, comprimento cepa: 60 cm, características adicionais: cabo plastificado: 1,20 m; cerdas: 4,50 cm</t>
    </r>
  </si>
  <si>
    <r>
      <rPr>
        <b/>
        <sz val="10"/>
        <color theme="1"/>
        <rFont val="Arial"/>
        <charset val="134"/>
      </rPr>
      <t>VASSOURA PÊLO SINTÉTICA</t>
    </r>
    <r>
      <rPr>
        <sz val="10"/>
        <color theme="1"/>
        <rFont val="Arial"/>
        <charset val="134"/>
      </rPr>
      <t xml:space="preserve"> </t>
    </r>
    <r>
      <rPr>
        <b/>
        <sz val="10"/>
        <color theme="1"/>
        <rFont val="Arial"/>
        <charset val="134"/>
      </rPr>
      <t xml:space="preserve">40 CM </t>
    </r>
    <r>
      <rPr>
        <sz val="10"/>
        <color theme="1"/>
        <rFont val="Arial"/>
        <charset val="134"/>
      </rPr>
      <t>-  Vassoura, material cerdas: pêlo sintético, material cepa: polipropileno, comprimento cepa: 40 cm, características adicionais: cabo de madeira plastificada, diâmetro cepa: 25 mm</t>
    </r>
  </si>
  <si>
    <r>
      <rPr>
        <b/>
        <sz val="10"/>
        <color theme="1"/>
        <rFont val="Arial"/>
        <charset val="134"/>
      </rPr>
      <t>VASSOURA PIAÇAVA 40 CM</t>
    </r>
    <r>
      <rPr>
        <sz val="10"/>
        <color theme="1"/>
        <rFont val="Arial"/>
        <charset val="134"/>
      </rPr>
      <t xml:space="preserve"> -Vassoura, material cerdas: piaçava, material cepa: madeira, comprimento cepa: 40 cm, características adicionais: com cabo rosqueado.</t>
    </r>
  </si>
  <si>
    <r>
      <rPr>
        <b/>
        <sz val="10"/>
        <color theme="1"/>
        <rFont val="Arial"/>
        <charset val="134"/>
      </rPr>
      <t>VASSOURA PIAÇAVA -</t>
    </r>
    <r>
      <rPr>
        <sz val="10"/>
        <color theme="1"/>
        <rFont val="Arial"/>
        <charset val="134"/>
      </rPr>
      <t>Vassoura, material cerdas: piaçava, material cabo: madeira, material cepa: madeira, tipo: leque, aplicação: limpeza.</t>
    </r>
  </si>
  <si>
    <r>
      <rPr>
        <b/>
        <sz val="10"/>
        <color theme="1"/>
        <rFont val="Arial"/>
        <charset val="134"/>
      </rPr>
      <t xml:space="preserve">VASSOURA NYLON - </t>
    </r>
    <r>
      <rPr>
        <sz val="10"/>
        <color theme="1"/>
        <rFont val="Arial"/>
        <charset val="134"/>
      </rPr>
      <t>Vassoura nylon 30 CM, com campa plática, com cabo em metal plastificado 120 CM, com no mínimo 80 tufos.</t>
    </r>
  </si>
  <si>
    <r>
      <rPr>
        <b/>
        <sz val="10"/>
        <color theme="1"/>
        <rFont val="Arial"/>
        <charset val="134"/>
      </rPr>
      <t>VASSOURA SANITÁRIA -</t>
    </r>
    <r>
      <rPr>
        <sz val="10"/>
        <color theme="1"/>
        <rFont val="Arial"/>
        <charset val="134"/>
      </rPr>
      <t xml:space="preserve"> Vassoura sanitária, em polipropileno, resistente, com cerdas em nylon, para uso interno em vaso sanitário, formato arredondado, na cor branca, medindo aproximadamente 14 x 42 cm. </t>
    </r>
    <r>
      <rPr>
        <b/>
        <sz val="10"/>
        <color theme="1"/>
        <rFont val="Arial"/>
        <charset val="134"/>
      </rPr>
      <t xml:space="preserve">
</t>
    </r>
  </si>
  <si>
    <r>
      <rPr>
        <b/>
        <sz val="10"/>
        <color theme="1"/>
        <rFont val="Arial"/>
        <charset val="134"/>
      </rPr>
      <t xml:space="preserve">CISCADOR - </t>
    </r>
    <r>
      <rPr>
        <sz val="10"/>
        <color theme="1"/>
        <rFont val="Arial"/>
        <charset val="134"/>
      </rPr>
      <t>Ancinho jardinagem, material: chapa ferro, quantidade dentes: 22 un, altura dentes: 420 mm, largura total: 320 mm, espessura dentes: 3,50 mm, características adicionais: com cabo madeira.</t>
    </r>
  </si>
  <si>
    <r>
      <rPr>
        <b/>
        <sz val="10"/>
        <color theme="1"/>
        <rFont val="Arial"/>
        <charset val="134"/>
      </rPr>
      <t xml:space="preserve">ENXADA - </t>
    </r>
    <r>
      <rPr>
        <sz val="10"/>
        <color theme="1"/>
        <rFont val="Arial"/>
        <charset val="134"/>
      </rPr>
      <t>Enxada, material: aço carbono, largura: 296 mm, material cabo: madeira, comprimento cabo: 150 cm</t>
    </r>
  </si>
  <si>
    <r>
      <rPr>
        <b/>
        <sz val="10"/>
        <color theme="1"/>
        <rFont val="Arial"/>
        <charset val="134"/>
      </rPr>
      <t xml:space="preserve">CARRINHO DE MÃO - </t>
    </r>
    <r>
      <rPr>
        <sz val="10"/>
        <color theme="1"/>
        <rFont val="Arial"/>
        <charset val="134"/>
      </rPr>
      <t>Carrinho mão, material caçamba: chapa aço galvanizado, quantidade roda: 1 un, tipo roda: pneu com câmara de 3,25 cm, capacidade caçamba: 50 kg, acabamento superficial: pintura eletrostática na cor cor preta, características adicionais: dimensões aproximadas:680 x 1320 x 545 mm</t>
    </r>
  </si>
  <si>
    <r>
      <rPr>
        <b/>
        <sz val="10"/>
        <color theme="1"/>
        <rFont val="Arial"/>
        <charset val="134"/>
      </rPr>
      <t xml:space="preserve">ESCOVA LIMPEZA GERAL - </t>
    </r>
    <r>
      <rPr>
        <sz val="10"/>
        <color theme="1"/>
        <rFont val="Arial"/>
        <charset val="134"/>
      </rPr>
      <t>Escova limpeza geral, material corpo: plástico, material cerdas: náilon, características adicionais: ovalada, comprimento: 12,50 cm, largura: 6 cm, espessura: 4 cm.</t>
    </r>
  </si>
  <si>
    <r>
      <rPr>
        <b/>
        <sz val="10"/>
        <color theme="1"/>
        <rFont val="Arial"/>
        <charset val="134"/>
      </rPr>
      <t>RODO 70 CM -</t>
    </r>
    <r>
      <rPr>
        <sz val="10"/>
        <color theme="1"/>
        <rFont val="Arial"/>
        <charset val="134"/>
      </rPr>
      <t xml:space="preserve"> Rodo, material cabo: alumínio, material suporte: alumínio, comprimento suporte: 70 cm, quantidade borrachas: 2 un, características adicionais: cabo com rosca</t>
    </r>
  </si>
  <si>
    <r>
      <rPr>
        <b/>
        <sz val="10"/>
        <color theme="1"/>
        <rFont val="Arial"/>
        <charset val="134"/>
      </rPr>
      <t xml:space="preserve">RODO 40 CM - </t>
    </r>
    <r>
      <rPr>
        <sz val="10"/>
        <color theme="1"/>
        <rFont val="Arial"/>
        <charset val="134"/>
      </rPr>
      <t>Rodo, material cabo: alumínio, material suporte: alumínio, comprimento suporte: 40 cm, quantidade borrachas: 2 und.</t>
    </r>
  </si>
  <si>
    <r>
      <rPr>
        <b/>
        <sz val="10"/>
        <color theme="1"/>
        <rFont val="Arial"/>
        <charset val="134"/>
      </rPr>
      <t>RODO PARA VIDRO -</t>
    </r>
    <r>
      <rPr>
        <sz val="10"/>
        <color theme="1"/>
        <rFont val="Arial"/>
        <charset val="134"/>
      </rPr>
      <t xml:space="preserve"> Rodo para limpeza de vidros, do tipo mop, com cabo extensor de alumínio (medindo aproximadamente 1,40 m), com base para limpar vidro (com luva própria de um lado e rodo do outro), medindo aproximadamente 40 cm. </t>
    </r>
  </si>
  <si>
    <r>
      <rPr>
        <b/>
        <sz val="10"/>
        <color theme="1"/>
        <rFont val="Arial"/>
        <charset val="134"/>
      </rPr>
      <t xml:space="preserve">PÁ COLETORA DE LIXO - </t>
    </r>
    <r>
      <rPr>
        <sz val="10"/>
        <color theme="1"/>
        <rFont val="Arial"/>
        <charset val="134"/>
      </rPr>
      <t>Pá coletora lixo, material coletor: polipropileno, material cabo: madeira revestida, comprimento cabo: 70 cm, comprimento: 29 cm, largura: 29 cm, altura: 14 cm, aplicação: limpeza, características adicionais: articulada.</t>
    </r>
  </si>
  <si>
    <r>
      <rPr>
        <b/>
        <sz val="10"/>
        <color theme="1"/>
        <rFont val="Arial"/>
        <charset val="134"/>
      </rPr>
      <t xml:space="preserve">PÁ - </t>
    </r>
    <r>
      <rPr>
        <sz val="10"/>
        <color theme="1"/>
        <rFont val="Arial"/>
        <charset val="134"/>
      </rPr>
      <t>Pá, material cabo: madeira, aplicação: construção civil, material: aço carbono, formato: quadrada, tamanho: 330 x 275 mm, comprimento cabo: 0,74 m, características adicionais: cabo madeira em y</t>
    </r>
  </si>
  <si>
    <r>
      <rPr>
        <b/>
        <sz val="10"/>
        <color theme="1"/>
        <rFont val="Arial"/>
        <charset val="134"/>
      </rPr>
      <t>DISCO LIMPADOR VERDE -</t>
    </r>
    <r>
      <rPr>
        <sz val="10"/>
        <color theme="1"/>
        <rFont val="Arial"/>
        <charset val="134"/>
      </rPr>
      <t xml:space="preserve"> Disco de limpeza em feltro, próprio para enceradeiras ou auto lavadoras de baixa rotação (175-300 rpm), Espessura (mínima): 21,0 mm.</t>
    </r>
  </si>
  <si>
    <r>
      <rPr>
        <b/>
        <sz val="10"/>
        <color theme="1"/>
        <rFont val="Arial"/>
        <charset val="134"/>
      </rPr>
      <t xml:space="preserve">DISCO LUSTRADOR BRANCO - </t>
    </r>
    <r>
      <rPr>
        <sz val="10"/>
        <color theme="1"/>
        <rFont val="Arial"/>
        <charset val="134"/>
      </rPr>
      <t>Disco lustrador em não-tecido à base de fibras sintéticas e mineral abrasivo unidos por adesivo sintético resistente a água, detergentes e outros limpadores normalmente usados na manutenção do piso, espessura nominal: 25,4 mm.</t>
    </r>
  </si>
  <si>
    <r>
      <rPr>
        <b/>
        <sz val="10"/>
        <color theme="1"/>
        <rFont val="Arial"/>
        <charset val="134"/>
      </rPr>
      <t xml:space="preserve">DISCO REMOVEDOR VERMELHO - </t>
    </r>
    <r>
      <rPr>
        <sz val="10"/>
        <color theme="1"/>
        <rFont val="Arial"/>
        <charset val="134"/>
      </rPr>
      <t>Disco removedor, composição: fibra sintética com abrasivo, Indicação de Uso: remover sujidades leves, espessura nominal: 25,4 mm.</t>
    </r>
  </si>
  <si>
    <r>
      <rPr>
        <b/>
        <sz val="10"/>
        <color theme="1"/>
        <rFont val="Arial"/>
        <charset val="134"/>
      </rPr>
      <t xml:space="preserve">MANGUEIRA EM PVC - </t>
    </r>
    <r>
      <rPr>
        <sz val="10"/>
        <color theme="1"/>
        <rFont val="Arial"/>
        <charset val="134"/>
      </rPr>
      <t>Mangueira jardim, material: pvc e poliéster trançado, diâmetro: 1,2 pol, pressão máxima: 12 bar., comprimento: 50 m, cor: cristal, características adicionais: três camadas intermediaria de pvc transparente.</t>
    </r>
  </si>
  <si>
    <r>
      <rPr>
        <b/>
        <sz val="10"/>
        <color theme="1"/>
        <rFont val="Arial"/>
        <charset val="134"/>
      </rPr>
      <t xml:space="preserve">DESENTUPIDOR DE PIA - Desentopidor de pia, </t>
    </r>
    <r>
      <rPr>
        <sz val="10"/>
        <color theme="1"/>
        <rFont val="Arial"/>
        <charset val="134"/>
      </rPr>
      <t xml:space="preserve">composto por polipropileno e borracha termoplástica, com alto poder de sucção, sanfonado. </t>
    </r>
    <r>
      <rPr>
        <b/>
        <sz val="10"/>
        <color theme="1"/>
        <rFont val="Arial"/>
        <charset val="134"/>
      </rPr>
      <t xml:space="preserve">
</t>
    </r>
  </si>
  <si>
    <r>
      <rPr>
        <b/>
        <sz val="10"/>
        <color theme="1"/>
        <rFont val="Arial"/>
        <charset val="134"/>
      </rPr>
      <t>DESENTUPIDOR DE VASO SANITÁRIO</t>
    </r>
    <r>
      <rPr>
        <sz val="10"/>
        <color theme="1"/>
        <rFont val="Arial"/>
        <charset val="134"/>
      </rPr>
      <t xml:space="preserve"> - Desentopidor de vaso sanitário, composto por polipropileno e borracha termoplástica, cabo longo, com alto poder de sucção. </t>
    </r>
    <r>
      <rPr>
        <b/>
        <sz val="10"/>
        <color theme="1"/>
        <rFont val="Arial"/>
        <charset val="134"/>
      </rPr>
      <t xml:space="preserve">
</t>
    </r>
  </si>
  <si>
    <r>
      <rPr>
        <b/>
        <sz val="10"/>
        <color theme="1"/>
        <rFont val="Arial"/>
        <charset val="134"/>
      </rPr>
      <t xml:space="preserve">BALDE MULTIUSO 12 L - </t>
    </r>
    <r>
      <rPr>
        <sz val="10"/>
        <color theme="1"/>
        <rFont val="Arial"/>
        <charset val="134"/>
      </rPr>
      <t>Balde, material: plástico, com bico, tamanho: médio, material alça: arame galvanizado revestido, capacidade: 12 l, cor: preta</t>
    </r>
  </si>
  <si>
    <r>
      <rPr>
        <b/>
        <sz val="10"/>
        <color theme="1"/>
        <rFont val="Arial"/>
        <charset val="134"/>
      </rPr>
      <t xml:space="preserve">LIXEIRA 100 L - </t>
    </r>
    <r>
      <rPr>
        <sz val="10"/>
        <color theme="1"/>
        <rFont val="Arial"/>
        <charset val="134"/>
      </rPr>
      <t>Lixeira, material: polietileno de média densidade, capacidade: 100 l, tipo: basculante, altura: 1.010 mm, formato: quadrada, largura: 410 mm, peso: 6,5 kg, aplicação: coleta de lixo, comprimento: 410 mm</t>
    </r>
  </si>
  <si>
    <r>
      <rPr>
        <b/>
        <sz val="10"/>
        <color theme="1"/>
        <rFont val="Arial"/>
        <charset val="134"/>
      </rPr>
      <t xml:space="preserve">LIXEIRA 60 L - </t>
    </r>
    <r>
      <rPr>
        <sz val="10"/>
        <color theme="1"/>
        <rFont val="Arial"/>
        <charset val="134"/>
      </rPr>
      <t>Lixeira, material: polipropileno, capacidade: 60 l, tipo: com tampa vai-vem, cor: branca, revestimento: tratamento em uv</t>
    </r>
  </si>
  <si>
    <r>
      <rPr>
        <b/>
        <sz val="10"/>
        <color theme="1"/>
        <rFont val="Arial"/>
        <charset val="134"/>
      </rPr>
      <t xml:space="preserve">LIXEIRA 40 L - </t>
    </r>
    <r>
      <rPr>
        <sz val="10"/>
        <color theme="1"/>
        <rFont val="Arial"/>
        <charset val="134"/>
      </rPr>
      <t>Lixeira, material: plástico, capacidade: 40 l, tipo: com tampa, características adicionais: com tampa e pedal.</t>
    </r>
  </si>
  <si>
    <r>
      <rPr>
        <b/>
        <sz val="10"/>
        <color theme="1"/>
        <rFont val="Arial"/>
        <charset val="134"/>
      </rPr>
      <t xml:space="preserve">LIXEIRA 15 L - </t>
    </r>
    <r>
      <rPr>
        <sz val="10"/>
        <color theme="1"/>
        <rFont val="Arial"/>
        <charset val="134"/>
      </rPr>
      <t>Lixeira, material: polipropileno, capacidade: 15 l, tipo: quadrada, cor: preta, características adicionais: com tampa vai e vem.</t>
    </r>
  </si>
  <si>
    <r>
      <rPr>
        <b/>
        <sz val="10"/>
        <color theme="1"/>
        <rFont val="Arial"/>
        <charset val="134"/>
      </rPr>
      <t>REFIL MOP PÓ -</t>
    </r>
    <r>
      <rPr>
        <sz val="10"/>
        <color theme="1"/>
        <rFont val="Arial"/>
        <charset val="134"/>
      </rPr>
      <t xml:space="preserve"> Refil Mop Pó, composto por fios 100 % acrílicos, dimenções: 60 x 15 cm, sistema de fechamento por laços.</t>
    </r>
  </si>
  <si>
    <r>
      <rPr>
        <b/>
        <sz val="10"/>
        <color theme="1"/>
        <rFont val="Arial"/>
        <charset val="134"/>
      </rPr>
      <t xml:space="preserve">REFÍL MOP ÚMIDO - </t>
    </r>
    <r>
      <rPr>
        <sz val="10"/>
        <color theme="1"/>
        <rFont val="Arial"/>
        <charset val="134"/>
      </rPr>
      <t>Refil para mop esfregão úmido ponta dobrada, composição: 70% de algodão e 30% de poliéster, Ponta dobrada em loop 340g.</t>
    </r>
  </si>
  <si>
    <r>
      <rPr>
        <b/>
        <sz val="10"/>
        <color theme="1"/>
        <rFont val="Arial"/>
        <charset val="134"/>
      </rPr>
      <t xml:space="preserve">ESCADA MULTIUSO - </t>
    </r>
    <r>
      <rPr>
        <sz val="10"/>
        <color theme="1"/>
        <rFont val="Arial"/>
        <charset val="134"/>
      </rPr>
      <t>Escada multiuso, material: alumínio, número degraus: 6 un, altura: 1,90 m, características adicionais: pés antiderrapantes, trava de segurança, capacidade: 150 kg, peso: 6 kg, tipo: dobrável</t>
    </r>
  </si>
  <si>
    <r>
      <rPr>
        <b/>
        <sz val="10"/>
        <color theme="1"/>
        <rFont val="Arial"/>
        <charset val="134"/>
      </rPr>
      <t xml:space="preserve">EXTENSÃO ELÉTRICA </t>
    </r>
    <r>
      <rPr>
        <sz val="10"/>
        <color theme="1"/>
        <rFont val="Arial"/>
        <charset val="134"/>
      </rPr>
      <t>- Extensão elétrica, comprimento: 30 m, componentes: 1 plugue macho e 1 plugue fêmea, características adicionais: diâmetro do fio 8mm, tensão nominal: 250 v, material: termoplástico anti-chama, corrente nominal: 10 A</t>
    </r>
  </si>
  <si>
    <r>
      <rPr>
        <b/>
        <sz val="10"/>
        <color theme="1"/>
        <rFont val="Arial"/>
        <charset val="134"/>
      </rPr>
      <t xml:space="preserve">DISPENSER HIGIENIZADOR PARA SABONETE LÍQUIDO -  </t>
    </r>
    <r>
      <rPr>
        <sz val="10"/>
        <color theme="1"/>
        <rFont val="Arial"/>
        <charset val="134"/>
      </rPr>
      <t>Dispenser higienizador, material: plástico abs, capacidade: 800 ml, tipo fixação: parede, cor: branca, aplicação: mãos, características adicionais: visor frontal para sabonete líquido.</t>
    </r>
  </si>
  <si>
    <r>
      <rPr>
        <b/>
        <sz val="10"/>
        <color theme="1"/>
        <rFont val="Arial"/>
        <charset val="134"/>
      </rPr>
      <t xml:space="preserve">DISPENSER PARA PAPEL TOALHA - </t>
    </r>
    <r>
      <rPr>
        <sz val="10"/>
        <color theme="1"/>
        <rFont val="Arial"/>
        <charset val="134"/>
      </rPr>
      <t>Dispenser papel toalha, interfolhada, material: plástico abs, cor: branca, características adicionais: fixação por bucha e parafusos, dimensões aproximadas: 32 x 27 x 14 cm.</t>
    </r>
  </si>
  <si>
    <t>Custo Total dos Materiais por ASG</t>
  </si>
  <si>
    <t>Custo Mensal dos Materiais por ASG</t>
  </si>
  <si>
    <t>UNIFORMES | EPI (ASG)</t>
  </si>
  <si>
    <t xml:space="preserve">  VALOR UNITÁRIO ESTIMADO (R$) </t>
  </si>
  <si>
    <t>Calça com cós de elástico, dois bolsos frontais e dois bolsos na traseira, confeccionado em brim 100% algodão, sem partes metálicas.</t>
  </si>
  <si>
    <t>Camisa tipo Polo em Piquet de Malha – 50% algodão e 50% poliéster, com mangas curtas, identificação da empresa na parte frontal, na cor Branca.</t>
  </si>
  <si>
    <t>Manguito Proteção UV 50: Dimensões Aproximadas: P: 9x27,7 cm (L x C), G: 9,5x41 cm (L x P), Composição: 94% Poliamida e 6% Elastano; Proteção UV, Antimicrobial, Seamless Dry, Proteção Solar: Com FPS; na cor preta.</t>
  </si>
  <si>
    <t>Calçado de segurança tipo botina, confeccionado em couro vaqueta, fechamento em elástico, com biqueira de aço, solado em poliuretano bidensidade.</t>
  </si>
  <si>
    <t>Calçado ocupacional de uso profissional, tipo bota PVC cano longo, impermeável, confeccionado em policloreto de vinila (PVC), com resistência química, sem biqueira, propriedades antiderrapantes, para uso em locais alagadiços.</t>
  </si>
  <si>
    <t>Meia, modelo cano alto, composição: 88% Algodão, 2% Lycra e 10% Poliamida, na cor preta.</t>
  </si>
  <si>
    <t>Crachá de identicação, em plástico rígido, contendo logomarca da empresa, foto e nome completo do funcionário.</t>
  </si>
  <si>
    <t>Óculos de proteção individual com lentes incolor, armação em policarbonato, lente em policarbonato, antiembaçante e anti-risco.</t>
  </si>
  <si>
    <t>Protetor solar fator de proteção FPS 30 ou superior</t>
  </si>
  <si>
    <t>Respirador semifacial PFF2 dobrável, descartável, sem válvula. Indicado para proteção respiratória em ambientes hospitalares contra presença de aerodispersóides e outros agentes biológicos, aplicando-se ainda contra fumos, névoas e poeiras tóxicas.</t>
  </si>
  <si>
    <t>Boné árabe em brim 100% algodão para proteção da face em trabalhos a céu aberto.</t>
  </si>
  <si>
    <t>Custo Mensal por ASG</t>
  </si>
  <si>
    <t>EPC (ASG)</t>
  </si>
  <si>
    <t>Caixa plástica tipo maleta para acondicionamento do Kit de  Primeiros Socorros</t>
  </si>
  <si>
    <t>Tesoura sem ponta</t>
  </si>
  <si>
    <t>Luvas de Procedimento</t>
  </si>
  <si>
    <t>Caixa com 100 UND</t>
  </si>
  <si>
    <t>Máscara Cirúrgica</t>
  </si>
  <si>
    <t>Caixa com 50 UND</t>
  </si>
  <si>
    <t>Gazes</t>
  </si>
  <si>
    <t>Pacote</t>
  </si>
  <si>
    <t>Esparadrapo</t>
  </si>
  <si>
    <t>Rolo</t>
  </si>
  <si>
    <t>Atadura de Crepe</t>
  </si>
  <si>
    <t>Soro fisiológico SF 0,9 % 250 ml</t>
  </si>
  <si>
    <t>Frasco</t>
  </si>
  <si>
    <t>Antisséptico degermante 100 ml</t>
  </si>
  <si>
    <t>Cone em PVC, cor laranja com faixas refletivas, tamanho 75 cm</t>
  </si>
  <si>
    <r>
      <rPr>
        <b/>
        <sz val="10"/>
        <color theme="1"/>
        <rFont val="Arial"/>
        <charset val="134"/>
      </rPr>
      <t>ASPIRADOR DE PÓ</t>
    </r>
    <r>
      <rPr>
        <sz val="10"/>
        <color theme="1"/>
        <rFont val="Arial"/>
        <charset val="134"/>
      </rPr>
      <t xml:space="preserve"> – Aspirador profissional para sólidos e líquidos, com alto poder de sucção na extensiva curva, (manopla) permitindo a aspiração de qualquer tipo de superfície, porta acessórios, cesto para acessórios mangueira com no mínimo 2,0 metros, reservatório com capacidade de no mínimo 20 litros, comprimento do fio da tomada de 5 metros ou maior, de potência de 1300w ou superior, tensão 220v.</t>
    </r>
  </si>
  <si>
    <r>
      <rPr>
        <b/>
        <sz val="10"/>
        <color theme="1"/>
        <rFont val="Arial"/>
        <charset val="134"/>
      </rPr>
      <t>ENCERADEIRA ROTATIVA</t>
    </r>
    <r>
      <rPr>
        <sz val="10"/>
        <color theme="1"/>
        <rFont val="Arial"/>
        <charset val="134"/>
      </rPr>
      <t xml:space="preserve"> - Enceradeira industrial – com escova de diâmetro de no mínimo 35 cm, motor com potência de no min. ³/4 HP, tensão 220v, capacidade operacional de no mínimo 1.000 m²/h, com fio de tomada de no mínimo 10 m, que venha com acessórios (disco/escova, de lavar e de lustrar, limpeza média e pesada).</t>
    </r>
  </si>
  <si>
    <r>
      <rPr>
        <b/>
        <sz val="10"/>
        <color theme="1"/>
        <rFont val="Arial"/>
        <charset val="134"/>
      </rPr>
      <t xml:space="preserve">MÁQUINA DE LAVAR A JATO - </t>
    </r>
    <r>
      <rPr>
        <sz val="10"/>
        <color theme="1"/>
        <rFont val="Arial"/>
        <charset val="134"/>
      </rPr>
      <t>Máquina de lavar à jato (alta pressão) com potência de no mínimo 1.500 W (220v) e proteção térmica, pressão mínima de 1.750 PSI, vazão mínima de 342 L/H, sistema stop total, bico com paletas para regulagem do jato e que permita várias opções de abertura de acordo com a necessidade do trabalho, gatilho com trava de segurança, mangueira de alta pressão com comprimento mínimo de 3 metros, recipiente para aplicação de detergente, com rodanas para transporte.</t>
    </r>
  </si>
  <si>
    <r>
      <rPr>
        <b/>
        <sz val="10"/>
        <color theme="1"/>
        <rFont val="Arial"/>
        <charset val="134"/>
      </rPr>
      <t>CARRINHO LIMPEZA MULTIFUNÇÃO -</t>
    </r>
    <r>
      <rPr>
        <sz val="10"/>
        <color theme="1"/>
        <rFont val="Arial"/>
        <charset val="134"/>
      </rPr>
      <t xml:space="preserve"> Carrinho de limpeza multifuncional composto por: Balde Doblô 30 litros – 2 águas, Cabo alumínio – 1,40 m, Haste Americana com cabo de alumínio, Refil úmidode em Algodão 320 g - Armação Mop Profi 60cm, Refil Mop Pó Profissional 60cm - Pá POP - Placa Sinalizadora piso molhado.</t>
    </r>
  </si>
  <si>
    <t>Manutenção mensal</t>
  </si>
  <si>
    <t>Depreciação mensal</t>
  </si>
  <si>
    <t>Custo Total dos equipamentos (Manutenção + Depreciação)</t>
  </si>
  <si>
    <t>Custo Total dos Equipamentos por ASG</t>
  </si>
</sst>
</file>

<file path=xl/styles.xml><?xml version="1.0" encoding="utf-8"?>
<styleSheet xmlns="http://schemas.openxmlformats.org/spreadsheetml/2006/main">
  <numFmts count="10">
    <numFmt numFmtId="176" formatCode="_-* #,##0.00_-;\-* #,##0.00_-;_-* &quot;-&quot;??_-;_-@_-"/>
    <numFmt numFmtId="177" formatCode="_-* #,##0_-;\-* #,##0_-;_-* &quot;-&quot;_-;_-@_-"/>
    <numFmt numFmtId="178" formatCode="_-&quot;R$&quot;* #,##0_-;\-&quot;R$&quot;* #,##0_-;_-&quot;R$&quot;* &quot;-&quot;_-;_-@_-"/>
    <numFmt numFmtId="179" formatCode="0_);[Red]\(0\)"/>
    <numFmt numFmtId="180" formatCode="&quot;R$&quot;\ #,##0.00_);[Red]\(&quot;R$&quot;\ #,##0.00\)"/>
    <numFmt numFmtId="181" formatCode="&quot;R$&quot;\ #,##0.00"/>
    <numFmt numFmtId="182" formatCode="0.0000_ "/>
    <numFmt numFmtId="183" formatCode="_-&quot;R$&quot;\ * #,##0.00_-;\-&quot;R$&quot;\ * #,##0.00_-;_-&quot;R$&quot;\ * &quot;-&quot;??_-;_-@_-"/>
    <numFmt numFmtId="184" formatCode="&quot;R$&quot;#,##0.00_);[Red]&quot;(R$&quot;#,##0.00\)"/>
    <numFmt numFmtId="185" formatCode="&quot;R$&quot;#,##0.00"/>
  </numFmts>
  <fonts count="34">
    <font>
      <sz val="11"/>
      <color theme="1"/>
      <name val="Calibri"/>
      <charset val="134"/>
      <scheme val="minor"/>
    </font>
    <font>
      <b/>
      <sz val="11"/>
      <color theme="0"/>
      <name val="Calibri"/>
      <charset val="134"/>
      <scheme val="minor"/>
    </font>
    <font>
      <b/>
      <sz val="11"/>
      <color theme="1"/>
      <name val="Calibri"/>
      <charset val="134"/>
      <scheme val="minor"/>
    </font>
    <font>
      <b/>
      <i/>
      <sz val="11"/>
      <color theme="0"/>
      <name val="Calibri"/>
      <charset val="134"/>
      <scheme val="minor"/>
    </font>
    <font>
      <sz val="11"/>
      <color theme="0"/>
      <name val="Calibri"/>
      <charset val="134"/>
      <scheme val="minor"/>
    </font>
    <font>
      <sz val="11"/>
      <color rgb="FF000000"/>
      <name val="Calibri"/>
      <charset val="134"/>
      <scheme val="minor"/>
    </font>
    <font>
      <b/>
      <sz val="10"/>
      <color theme="1"/>
      <name val="Arial"/>
      <charset val="134"/>
    </font>
    <font>
      <sz val="11"/>
      <color theme="1"/>
      <name val="Calibri"/>
      <charset val="0"/>
      <scheme val="minor"/>
    </font>
    <font>
      <b/>
      <sz val="11"/>
      <color rgb="FFFFFFFF"/>
      <name val="Calibri"/>
      <charset val="134"/>
    </font>
    <font>
      <b/>
      <sz val="11"/>
      <color rgb="FF000000"/>
      <name val="Calibri"/>
      <charset val="134"/>
    </font>
    <font>
      <sz val="11"/>
      <color rgb="FF000000"/>
      <name val="Calibri"/>
      <charset val="134"/>
    </font>
    <font>
      <sz val="11"/>
      <color rgb="FF006100"/>
      <name val="Calibri"/>
      <charset val="0"/>
      <scheme val="minor"/>
    </font>
    <font>
      <b/>
      <sz val="11"/>
      <color theme="3"/>
      <name val="Calibri"/>
      <charset val="134"/>
      <scheme val="minor"/>
    </font>
    <font>
      <i/>
      <sz val="11"/>
      <color rgb="FF7F7F7F"/>
      <name val="Calibri"/>
      <charset val="0"/>
      <scheme val="minor"/>
    </font>
    <font>
      <u/>
      <sz val="11"/>
      <color rgb="FF800080"/>
      <name val="Calibri"/>
      <charset val="0"/>
      <scheme val="minor"/>
    </font>
    <font>
      <sz val="11"/>
      <color theme="0"/>
      <name val="Calibri"/>
      <charset val="0"/>
      <scheme val="minor"/>
    </font>
    <font>
      <b/>
      <sz val="11"/>
      <color rgb="FF3F3F3F"/>
      <name val="Calibri"/>
      <charset val="0"/>
      <scheme val="minor"/>
    </font>
    <font>
      <b/>
      <sz val="13"/>
      <color theme="3"/>
      <name val="Calibri"/>
      <charset val="134"/>
      <scheme val="minor"/>
    </font>
    <font>
      <sz val="11"/>
      <color rgb="FFFF0000"/>
      <name val="Calibri"/>
      <charset val="0"/>
      <scheme val="minor"/>
    </font>
    <font>
      <sz val="10"/>
      <color theme="1"/>
      <name val="Calibri"/>
      <charset val="134"/>
      <scheme val="minor"/>
    </font>
    <font>
      <sz val="11"/>
      <color rgb="FF9C0006"/>
      <name val="Calibri"/>
      <charset val="0"/>
      <scheme val="minor"/>
    </font>
    <font>
      <b/>
      <sz val="11"/>
      <color rgb="FFFFFFFF"/>
      <name val="Calibri"/>
      <charset val="0"/>
      <scheme val="minor"/>
    </font>
    <font>
      <sz val="11"/>
      <color rgb="FFFA7D00"/>
      <name val="Calibri"/>
      <charset val="0"/>
      <scheme val="minor"/>
    </font>
    <font>
      <sz val="11"/>
      <color rgb="FF3F3F76"/>
      <name val="Calibri"/>
      <charset val="0"/>
      <scheme val="minor"/>
    </font>
    <font>
      <b/>
      <sz val="11"/>
      <color rgb="FFFA7D00"/>
      <name val="Calibri"/>
      <charset val="0"/>
      <scheme val="minor"/>
    </font>
    <font>
      <b/>
      <sz val="11"/>
      <color theme="1"/>
      <name val="Calibri"/>
      <charset val="0"/>
      <scheme val="minor"/>
    </font>
    <font>
      <b/>
      <sz val="18"/>
      <color theme="3"/>
      <name val="Calibri"/>
      <charset val="134"/>
      <scheme val="minor"/>
    </font>
    <font>
      <u/>
      <sz val="11"/>
      <color rgb="FF0000FF"/>
      <name val="Calibri"/>
      <charset val="0"/>
      <scheme val="minor"/>
    </font>
    <font>
      <sz val="11"/>
      <color indexed="8"/>
      <name val="Calibri"/>
      <charset val="0"/>
    </font>
    <font>
      <sz val="11"/>
      <color rgb="FF9C6500"/>
      <name val="Calibri"/>
      <charset val="0"/>
      <scheme val="minor"/>
    </font>
    <font>
      <b/>
      <sz val="15"/>
      <color theme="3"/>
      <name val="Calibri"/>
      <charset val="134"/>
      <scheme val="minor"/>
    </font>
    <font>
      <sz val="10"/>
      <color theme="1"/>
      <name val="Arial"/>
      <charset val="134"/>
    </font>
    <font>
      <sz val="9"/>
      <name val="Tahoma"/>
      <charset val="134"/>
    </font>
    <font>
      <b/>
      <sz val="9"/>
      <name val="Tahoma"/>
      <charset val="134"/>
    </font>
  </fonts>
  <fills count="44">
    <fill>
      <patternFill patternType="none"/>
    </fill>
    <fill>
      <patternFill patternType="gray125"/>
    </fill>
    <fill>
      <patternFill patternType="solid">
        <fgColor theme="9"/>
        <bgColor theme="9"/>
      </patternFill>
    </fill>
    <fill>
      <patternFill patternType="solid">
        <fgColor theme="9" tint="0.599993896298105"/>
        <bgColor theme="9" tint="0.599993896298105"/>
      </patternFill>
    </fill>
    <fill>
      <patternFill patternType="solid">
        <fgColor theme="5" tint="0.399945066682943"/>
        <bgColor indexed="64"/>
      </patternFill>
    </fill>
    <fill>
      <patternFill patternType="solid">
        <fgColor theme="9" tint="0.799981688894314"/>
        <bgColor theme="9" tint="0.799981688894314"/>
      </patternFill>
    </fill>
    <fill>
      <patternFill patternType="solid">
        <fgColor theme="9"/>
        <bgColor indexed="64"/>
      </patternFill>
    </fill>
    <fill>
      <patternFill patternType="solid">
        <fgColor theme="9" tint="0.8"/>
        <bgColor indexed="64"/>
      </patternFill>
    </fill>
    <fill>
      <patternFill patternType="solid">
        <fgColor theme="5" tint="0.399975585192419"/>
        <bgColor indexed="64"/>
      </patternFill>
    </fill>
    <fill>
      <patternFill patternType="solid">
        <fgColor theme="0"/>
        <bgColor indexed="64"/>
      </patternFill>
    </fill>
    <fill>
      <patternFill patternType="solid">
        <fgColor rgb="FF70AD47"/>
        <bgColor rgb="FF339966"/>
      </patternFill>
    </fill>
    <fill>
      <patternFill patternType="solid">
        <fgColor rgb="FFC5E0B4"/>
        <bgColor rgb="FFA9D18E"/>
      </patternFill>
    </fill>
    <fill>
      <patternFill patternType="solid">
        <fgColor rgb="FFF4B183"/>
        <bgColor rgb="FFFF99CC"/>
      </patternFill>
    </fill>
    <fill>
      <patternFill patternType="solid">
        <fgColor rgb="FFE2F0D9"/>
        <bgColor rgb="FFF2F2F2"/>
      </patternFill>
    </fill>
    <fill>
      <patternFill patternType="solid">
        <fgColor theme="5" tint="0.4"/>
        <bgColor indexed="64"/>
      </patternFill>
    </fill>
    <fill>
      <patternFill patternType="solid">
        <fgColor theme="8" tint="0.599993896298105"/>
        <bgColor indexed="64"/>
      </patternFill>
    </fill>
    <fill>
      <patternFill patternType="solid">
        <fgColor rgb="FFC6EFCE"/>
        <bgColor indexed="64"/>
      </patternFill>
    </fill>
    <fill>
      <patternFill patternType="solid">
        <fgColor theme="6" tint="0.799981688894314"/>
        <bgColor indexed="64"/>
      </patternFill>
    </fill>
    <fill>
      <patternFill patternType="solid">
        <fgColor theme="9" tint="0.399975585192419"/>
        <bgColor indexed="64"/>
      </patternFill>
    </fill>
    <fill>
      <patternFill patternType="solid">
        <fgColor theme="5" tint="0.799981688894314"/>
        <bgColor indexed="64"/>
      </patternFill>
    </fill>
    <fill>
      <patternFill patternType="solid">
        <fgColor theme="9" tint="0.799981688894314"/>
        <bgColor indexed="64"/>
      </patternFill>
    </fill>
    <fill>
      <patternFill patternType="solid">
        <fgColor theme="4" tint="0.799981688894314"/>
        <bgColor indexed="64"/>
      </patternFill>
    </fill>
    <fill>
      <patternFill patternType="solid">
        <fgColor rgb="FFF2F2F2"/>
        <bgColor indexed="64"/>
      </patternFill>
    </fill>
    <fill>
      <patternFill patternType="solid">
        <fgColor theme="6" tint="0.399975585192419"/>
        <bgColor indexed="64"/>
      </patternFill>
    </fill>
    <fill>
      <patternFill patternType="solid">
        <fgColor rgb="FFFFC7CE"/>
        <bgColor indexed="64"/>
      </patternFill>
    </fill>
    <fill>
      <patternFill patternType="solid">
        <fgColor theme="7"/>
        <bgColor indexed="64"/>
      </patternFill>
    </fill>
    <fill>
      <patternFill patternType="solid">
        <fgColor rgb="FFA5A5A5"/>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5" tint="0.599993896298105"/>
        <bgColor indexed="64"/>
      </patternFill>
    </fill>
    <fill>
      <patternFill patternType="solid">
        <fgColor theme="6" tint="0.599993896298105"/>
        <bgColor indexed="64"/>
      </patternFill>
    </fill>
    <fill>
      <patternFill patternType="solid">
        <fgColor theme="5"/>
        <bgColor indexed="64"/>
      </patternFill>
    </fill>
    <fill>
      <patternFill patternType="solid">
        <fgColor theme="4"/>
        <bgColor indexed="64"/>
      </patternFill>
    </fill>
    <fill>
      <patternFill patternType="solid">
        <fgColor rgb="FFFFCC99"/>
        <bgColor indexed="64"/>
      </patternFill>
    </fill>
    <fill>
      <patternFill patternType="solid">
        <fgColor theme="7" tint="0.599993896298105"/>
        <bgColor indexed="64"/>
      </patternFill>
    </fill>
    <fill>
      <patternFill patternType="solid">
        <fgColor theme="8" tint="0.799981688894314"/>
        <bgColor indexed="64"/>
      </patternFill>
    </fill>
    <fill>
      <patternFill patternType="solid">
        <fgColor theme="9" tint="0.599993896298105"/>
        <bgColor indexed="64"/>
      </patternFill>
    </fill>
    <fill>
      <patternFill patternType="solid">
        <fgColor theme="7" tint="0.799981688894314"/>
        <bgColor indexed="64"/>
      </patternFill>
    </fill>
    <fill>
      <patternFill patternType="solid">
        <fgColor theme="4" tint="0.599993896298105"/>
        <bgColor indexed="64"/>
      </patternFill>
    </fill>
    <fill>
      <patternFill patternType="solid">
        <fgColor theme="8"/>
        <bgColor indexed="64"/>
      </patternFill>
    </fill>
    <fill>
      <patternFill patternType="solid">
        <fgColor theme="6"/>
        <bgColor indexed="64"/>
      </patternFill>
    </fill>
    <fill>
      <patternFill patternType="solid">
        <fgColor theme="7" tint="0.399975585192419"/>
        <bgColor indexed="64"/>
      </patternFill>
    </fill>
    <fill>
      <patternFill patternType="solid">
        <fgColor rgb="FFFFEB9C"/>
        <bgColor indexed="64"/>
      </patternFill>
    </fill>
    <fill>
      <patternFill patternType="solid">
        <fgColor rgb="FFFFFFCC"/>
        <bgColor indexed="64"/>
      </patternFill>
    </fill>
  </fills>
  <borders count="30">
    <border>
      <left/>
      <right/>
      <top/>
      <bottom/>
      <diagonal/>
    </border>
    <border>
      <left/>
      <right style="thin">
        <color theme="0"/>
      </right>
      <top/>
      <bottom style="thick">
        <color theme="0"/>
      </bottom>
      <diagonal/>
    </border>
    <border>
      <left style="thin">
        <color theme="0"/>
      </left>
      <right style="thin">
        <color theme="0"/>
      </right>
      <top/>
      <bottom style="thick">
        <color theme="0"/>
      </bottom>
      <diagonal/>
    </border>
    <border>
      <left style="thin">
        <color theme="0"/>
      </left>
      <right/>
      <top/>
      <bottom style="thick">
        <color theme="0"/>
      </bottom>
      <diagonal/>
    </border>
    <border>
      <left/>
      <right style="thin">
        <color theme="0"/>
      </right>
      <top style="thick">
        <color theme="0"/>
      </top>
      <bottom style="thin">
        <color theme="0"/>
      </bottom>
      <diagonal/>
    </border>
    <border>
      <left style="thin">
        <color theme="0"/>
      </left>
      <right style="thin">
        <color theme="0"/>
      </right>
      <top style="thick">
        <color theme="0"/>
      </top>
      <bottom style="thin">
        <color theme="0"/>
      </bottom>
      <diagonal/>
    </border>
    <border>
      <left style="thin">
        <color theme="0"/>
      </left>
      <right/>
      <top style="thick">
        <color theme="0"/>
      </top>
      <bottom style="thin">
        <color theme="0"/>
      </bottom>
      <diagonal/>
    </border>
    <border>
      <left/>
      <right style="thin">
        <color theme="0"/>
      </right>
      <top style="thin">
        <color theme="0"/>
      </top>
      <bottom style="thin">
        <color theme="0"/>
      </bottom>
      <diagonal/>
    </border>
    <border>
      <left style="thin">
        <color theme="0"/>
      </left>
      <right style="thin">
        <color theme="0"/>
      </right>
      <top style="thin">
        <color theme="0"/>
      </top>
      <bottom style="thin">
        <color theme="0"/>
      </bottom>
      <diagonal/>
    </border>
    <border>
      <left style="thin">
        <color theme="0"/>
      </left>
      <right/>
      <top style="thin">
        <color theme="0"/>
      </top>
      <bottom style="thin">
        <color theme="0"/>
      </bottom>
      <diagonal/>
    </border>
    <border>
      <left style="thin">
        <color theme="0"/>
      </left>
      <right style="thin">
        <color auto="1"/>
      </right>
      <top style="thin">
        <color theme="0"/>
      </top>
      <bottom style="thin">
        <color theme="0"/>
      </bottom>
      <diagonal/>
    </border>
    <border>
      <left style="thin">
        <color auto="1"/>
      </left>
      <right style="thin">
        <color auto="1"/>
      </right>
      <top style="thin">
        <color theme="0"/>
      </top>
      <bottom style="thin">
        <color theme="0"/>
      </bottom>
      <diagonal/>
    </border>
    <border>
      <left style="thin">
        <color auto="1"/>
      </left>
      <right style="thin">
        <color theme="0"/>
      </right>
      <top style="thin">
        <color theme="0"/>
      </top>
      <bottom style="thin">
        <color theme="0"/>
      </bottom>
      <diagonal/>
    </border>
    <border>
      <left/>
      <right style="thin">
        <color theme="0"/>
      </right>
      <top style="thin">
        <color theme="0"/>
      </top>
      <bottom/>
      <diagonal/>
    </border>
    <border>
      <left style="thin">
        <color theme="0"/>
      </left>
      <right style="thin">
        <color theme="0"/>
      </right>
      <top style="thin">
        <color theme="0"/>
      </top>
      <bottom/>
      <diagonal/>
    </border>
    <border>
      <left style="thin">
        <color theme="0"/>
      </left>
      <right/>
      <top style="thin">
        <color theme="0"/>
      </top>
      <bottom/>
      <diagonal/>
    </border>
    <border>
      <left/>
      <right style="thin">
        <color theme="0"/>
      </right>
      <top style="thick">
        <color theme="0"/>
      </top>
      <bottom/>
      <diagonal/>
    </border>
    <border>
      <left style="thin">
        <color auto="1"/>
      </left>
      <right style="thin">
        <color auto="1"/>
      </right>
      <top style="thin">
        <color auto="1"/>
      </top>
      <bottom/>
      <diagonal/>
    </border>
    <border>
      <left/>
      <right/>
      <top/>
      <bottom style="thin">
        <color theme="0"/>
      </bottom>
      <diagonal/>
    </border>
    <border>
      <left style="thin">
        <color rgb="FFFFFFFF"/>
      </left>
      <right style="thin">
        <color rgb="FFFFFFFF"/>
      </right>
      <top style="thick">
        <color rgb="FFFFFFFF"/>
      </top>
      <bottom style="thin">
        <color rgb="FFFFFFFF"/>
      </bottom>
      <diagonal/>
    </border>
    <border>
      <left style="thin">
        <color rgb="FFFFFFFF"/>
      </left>
      <right style="thin">
        <color rgb="FFFFFFFF"/>
      </right>
      <top style="thin">
        <color rgb="FFFFFFFF"/>
      </top>
      <bottom style="thick">
        <color rgb="FFFFFFFF"/>
      </bottom>
      <diagonal/>
    </border>
    <border>
      <left style="thin">
        <color rgb="FFFFFFFF"/>
      </left>
      <right/>
      <top/>
      <bottom style="thick">
        <color rgb="FFFFFFFF"/>
      </bottom>
      <diagonal/>
    </border>
    <border>
      <left style="thin">
        <color rgb="FF3F3F3F"/>
      </left>
      <right style="thin">
        <color rgb="FF3F3F3F"/>
      </right>
      <top style="thin">
        <color rgb="FF3F3F3F"/>
      </top>
      <bottom style="thin">
        <color rgb="FF3F3F3F"/>
      </bottom>
      <diagonal/>
    </border>
    <border>
      <left/>
      <right/>
      <top/>
      <bottom style="medium">
        <color theme="4"/>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right/>
      <top/>
      <bottom style="medium">
        <color theme="4" tint="0.499984740745262"/>
      </bottom>
      <diagonal/>
    </border>
    <border>
      <left style="thin">
        <color rgb="FFB2B2B2"/>
      </left>
      <right style="thin">
        <color rgb="FFB2B2B2"/>
      </right>
      <top style="thin">
        <color rgb="FFB2B2B2"/>
      </top>
      <bottom style="thin">
        <color rgb="FFB2B2B2"/>
      </bottom>
      <diagonal/>
    </border>
  </borders>
  <cellStyleXfs count="50">
    <xf numFmtId="0" fontId="0" fillId="0" borderId="0"/>
    <xf numFmtId="176" fontId="0" fillId="0" borderId="0" applyFont="0" applyFill="0" applyBorder="0" applyAlignment="0" applyProtection="0"/>
    <xf numFmtId="177" fontId="19" fillId="0" borderId="0" applyFont="0" applyFill="0" applyBorder="0" applyAlignment="0" applyProtection="0">
      <alignment vertical="center"/>
    </xf>
    <xf numFmtId="0" fontId="7" fillId="34" borderId="0" applyNumberFormat="0" applyBorder="0" applyAlignment="0" applyProtection="0">
      <alignment vertical="center"/>
    </xf>
    <xf numFmtId="9" fontId="0" fillId="0" borderId="0" applyFont="0" applyFill="0" applyBorder="0" applyAlignment="0" applyProtection="0"/>
    <xf numFmtId="0" fontId="22" fillId="0" borderId="25" applyNumberFormat="0" applyFill="0" applyAlignment="0" applyProtection="0">
      <alignment vertical="center"/>
    </xf>
    <xf numFmtId="0" fontId="21" fillId="26" borderId="24" applyNumberFormat="0" applyAlignment="0" applyProtection="0">
      <alignment vertical="center"/>
    </xf>
    <xf numFmtId="178" fontId="19" fillId="0" borderId="0" applyFont="0" applyFill="0" applyBorder="0" applyAlignment="0" applyProtection="0">
      <alignment vertical="center"/>
    </xf>
    <xf numFmtId="0" fontId="7" fillId="17" borderId="0" applyNumberFormat="0" applyBorder="0" applyAlignment="0" applyProtection="0">
      <alignment vertical="center"/>
    </xf>
    <xf numFmtId="183" fontId="0" fillId="0" borderId="0" applyFont="0" applyFill="0" applyBorder="0" applyAlignment="0" applyProtection="0"/>
    <xf numFmtId="0" fontId="14"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7" fillId="29" borderId="0" applyNumberFormat="0" applyBorder="0" applyAlignment="0" applyProtection="0">
      <alignment vertical="center"/>
    </xf>
    <xf numFmtId="0" fontId="19" fillId="43" borderId="29" applyNumberFormat="0" applyFont="0" applyAlignment="0" applyProtection="0">
      <alignment vertical="center"/>
    </xf>
    <xf numFmtId="0" fontId="7" fillId="36" borderId="0" applyNumberFormat="0" applyBorder="0" applyAlignment="0" applyProtection="0">
      <alignment vertical="center"/>
    </xf>
    <xf numFmtId="0" fontId="18"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5" fillId="40" borderId="0" applyNumberFormat="0" applyBorder="0" applyAlignment="0" applyProtection="0">
      <alignment vertical="center"/>
    </xf>
    <xf numFmtId="0" fontId="30" fillId="0" borderId="23" applyNumberFormat="0" applyFill="0" applyAlignment="0" applyProtection="0">
      <alignment vertical="center"/>
    </xf>
    <xf numFmtId="0" fontId="15" fillId="25" borderId="0" applyNumberFormat="0" applyBorder="0" applyAlignment="0" applyProtection="0">
      <alignment vertical="center"/>
    </xf>
    <xf numFmtId="0" fontId="17" fillId="0" borderId="23" applyNumberFormat="0" applyFill="0" applyAlignment="0" applyProtection="0">
      <alignment vertical="center"/>
    </xf>
    <xf numFmtId="0" fontId="15" fillId="39" borderId="0" applyNumberFormat="0" applyBorder="0" applyAlignment="0" applyProtection="0">
      <alignment vertical="center"/>
    </xf>
    <xf numFmtId="0" fontId="12" fillId="0" borderId="28" applyNumberFormat="0" applyFill="0" applyAlignment="0" applyProtection="0">
      <alignment vertical="center"/>
    </xf>
    <xf numFmtId="0" fontId="15" fillId="6" borderId="0" applyNumberFormat="0" applyBorder="0" applyAlignment="0" applyProtection="0">
      <alignment vertical="center"/>
    </xf>
    <xf numFmtId="0" fontId="12" fillId="0" borderId="0" applyNumberFormat="0" applyFill="0" applyBorder="0" applyAlignment="0" applyProtection="0">
      <alignment vertical="center"/>
    </xf>
    <xf numFmtId="0" fontId="23" fillId="33" borderId="26" applyNumberFormat="0" applyAlignment="0" applyProtection="0">
      <alignment vertical="center"/>
    </xf>
    <xf numFmtId="0" fontId="16" fillId="22" borderId="22" applyNumberFormat="0" applyAlignment="0" applyProtection="0">
      <alignment vertical="center"/>
    </xf>
    <xf numFmtId="0" fontId="24" fillId="22" borderId="26" applyNumberFormat="0" applyAlignment="0" applyProtection="0">
      <alignment vertical="center"/>
    </xf>
    <xf numFmtId="0" fontId="25" fillId="0" borderId="27" applyNumberFormat="0" applyFill="0" applyAlignment="0" applyProtection="0">
      <alignment vertical="center"/>
    </xf>
    <xf numFmtId="0" fontId="7" fillId="38" borderId="0" applyNumberFormat="0" applyBorder="0" applyAlignment="0" applyProtection="0">
      <alignment vertical="center"/>
    </xf>
    <xf numFmtId="0" fontId="11" fillId="16" borderId="0" applyNumberFormat="0" applyBorder="0" applyAlignment="0" applyProtection="0">
      <alignment vertical="center"/>
    </xf>
    <xf numFmtId="0" fontId="20" fillId="24" borderId="0" applyNumberFormat="0" applyBorder="0" applyAlignment="0" applyProtection="0">
      <alignment vertical="center"/>
    </xf>
    <xf numFmtId="0" fontId="29" fillId="42" borderId="0" applyNumberFormat="0" applyBorder="0" applyAlignment="0" applyProtection="0">
      <alignment vertical="center"/>
    </xf>
    <xf numFmtId="0" fontId="7" fillId="35" borderId="0" applyNumberFormat="0" applyBorder="0" applyAlignment="0" applyProtection="0">
      <alignment vertical="center"/>
    </xf>
    <xf numFmtId="0" fontId="15" fillId="32" borderId="0" applyNumberFormat="0" applyBorder="0" applyAlignment="0" applyProtection="0">
      <alignment vertical="center"/>
    </xf>
    <xf numFmtId="0" fontId="7" fillId="21" borderId="0" applyNumberFormat="0" applyBorder="0" applyAlignment="0" applyProtection="0">
      <alignment vertical="center"/>
    </xf>
    <xf numFmtId="0" fontId="15" fillId="28" borderId="0" applyNumberFormat="0" applyBorder="0" applyAlignment="0" applyProtection="0">
      <alignment vertical="center"/>
    </xf>
    <xf numFmtId="0" fontId="7" fillId="20" borderId="0" applyNumberFormat="0" applyBorder="0" applyAlignment="0" applyProtection="0">
      <alignment vertical="center"/>
    </xf>
    <xf numFmtId="0" fontId="15" fillId="31" borderId="0" applyNumberFormat="0" applyBorder="0" applyAlignment="0" applyProtection="0">
      <alignment vertical="center"/>
    </xf>
    <xf numFmtId="0" fontId="7" fillId="19" borderId="0" applyNumberFormat="0" applyBorder="0" applyAlignment="0" applyProtection="0">
      <alignment vertical="center"/>
    </xf>
    <xf numFmtId="0" fontId="15" fillId="8" borderId="0" applyNumberFormat="0" applyBorder="0" applyAlignment="0" applyProtection="0">
      <alignment vertical="center"/>
    </xf>
    <xf numFmtId="0" fontId="7" fillId="30" borderId="0" applyNumberFormat="0" applyBorder="0" applyAlignment="0" applyProtection="0">
      <alignment vertical="center"/>
    </xf>
    <xf numFmtId="0" fontId="28" fillId="0" borderId="0"/>
    <xf numFmtId="0" fontId="15" fillId="23" borderId="0" applyNumberFormat="0" applyBorder="0" applyAlignment="0" applyProtection="0">
      <alignment vertical="center"/>
    </xf>
    <xf numFmtId="0" fontId="7" fillId="37" borderId="0" applyNumberFormat="0" applyBorder="0" applyAlignment="0" applyProtection="0">
      <alignment vertical="center"/>
    </xf>
    <xf numFmtId="0" fontId="15" fillId="41" borderId="0" applyNumberFormat="0" applyBorder="0" applyAlignment="0" applyProtection="0">
      <alignment vertical="center"/>
    </xf>
    <xf numFmtId="0" fontId="7" fillId="15" borderId="0" applyNumberFormat="0" applyBorder="0" applyAlignment="0" applyProtection="0">
      <alignment vertical="center"/>
    </xf>
    <xf numFmtId="0" fontId="15" fillId="27" borderId="0" applyNumberFormat="0" applyBorder="0" applyAlignment="0" applyProtection="0">
      <alignment vertical="center"/>
    </xf>
    <xf numFmtId="0" fontId="15" fillId="18" borderId="0" applyNumberFormat="0" applyBorder="0" applyAlignment="0" applyProtection="0">
      <alignment vertical="center"/>
    </xf>
  </cellStyleXfs>
  <cellXfs count="120">
    <xf numFmtId="0" fontId="0" fillId="0" borderId="0" xfId="0"/>
    <xf numFmtId="0" fontId="1" fillId="2" borderId="1" xfId="0" applyFont="1" applyFill="1" applyBorder="1" applyAlignment="1">
      <alignment horizontal="center" vertical="center" wrapText="1"/>
    </xf>
    <xf numFmtId="0" fontId="1" fillId="2" borderId="2" xfId="0" applyFont="1" applyFill="1" applyBorder="1" applyAlignment="1">
      <alignment horizontal="center" vertical="center" wrapText="1"/>
    </xf>
    <xf numFmtId="0" fontId="1" fillId="2" borderId="3" xfId="0" applyFont="1" applyFill="1" applyBorder="1" applyAlignment="1">
      <alignment horizontal="center" vertical="center" wrapText="1"/>
    </xf>
    <xf numFmtId="0" fontId="0" fillId="3" borderId="4" xfId="0" applyNumberFormat="1" applyFont="1" applyFill="1" applyBorder="1" applyAlignment="1">
      <alignment horizontal="center" vertical="center"/>
    </xf>
    <xf numFmtId="0" fontId="0" fillId="3" borderId="4" xfId="0" applyNumberFormat="1" applyFont="1" applyFill="1" applyBorder="1" applyAlignment="1">
      <alignment horizontal="justify" vertical="center"/>
    </xf>
    <xf numFmtId="0" fontId="0" fillId="3" borderId="5" xfId="0" applyFont="1" applyFill="1" applyBorder="1" applyAlignment="1">
      <alignment horizontal="center" vertical="center" wrapText="1"/>
    </xf>
    <xf numFmtId="181" fontId="0" fillId="4" borderId="5" xfId="0" applyNumberFormat="1" applyFont="1" applyFill="1" applyBorder="1" applyAlignment="1">
      <alignment horizontal="center" vertical="center"/>
    </xf>
    <xf numFmtId="181" fontId="0" fillId="3" borderId="6" xfId="0" applyNumberFormat="1" applyFont="1" applyFill="1" applyBorder="1" applyAlignment="1">
      <alignment horizontal="center" vertical="center"/>
    </xf>
    <xf numFmtId="0" fontId="0" fillId="5" borderId="7" xfId="0" applyNumberFormat="1" applyFont="1" applyFill="1" applyBorder="1" applyAlignment="1">
      <alignment horizontal="center" vertical="center"/>
    </xf>
    <xf numFmtId="0" fontId="0" fillId="5" borderId="7" xfId="0" applyNumberFormat="1" applyFont="1" applyFill="1" applyBorder="1" applyAlignment="1">
      <alignment horizontal="justify" vertical="center"/>
    </xf>
    <xf numFmtId="0" fontId="0" fillId="5" borderId="8" xfId="0" applyFont="1" applyFill="1" applyBorder="1" applyAlignment="1">
      <alignment horizontal="center" vertical="center" wrapText="1"/>
    </xf>
    <xf numFmtId="181" fontId="0" fillId="4" borderId="8" xfId="0" applyNumberFormat="1" applyFont="1" applyFill="1" applyBorder="1" applyAlignment="1">
      <alignment horizontal="center" vertical="center"/>
    </xf>
    <xf numFmtId="181" fontId="0" fillId="5" borderId="9" xfId="0" applyNumberFormat="1" applyFont="1" applyFill="1" applyBorder="1" applyAlignment="1">
      <alignment horizontal="center" vertical="center"/>
    </xf>
    <xf numFmtId="0" fontId="0" fillId="3" borderId="7" xfId="0" applyNumberFormat="1" applyFont="1" applyFill="1" applyBorder="1" applyAlignment="1">
      <alignment horizontal="center" vertical="center"/>
    </xf>
    <xf numFmtId="0" fontId="0" fillId="3" borderId="8" xfId="0" applyFont="1" applyFill="1" applyBorder="1" applyAlignment="1">
      <alignment horizontal="center" vertical="center" wrapText="1"/>
    </xf>
    <xf numFmtId="181" fontId="0" fillId="3" borderId="9" xfId="0" applyNumberFormat="1" applyFont="1" applyFill="1" applyBorder="1" applyAlignment="1">
      <alignment horizontal="center" vertical="center"/>
    </xf>
    <xf numFmtId="0" fontId="1" fillId="6" borderId="10" xfId="0" applyFont="1" applyFill="1" applyBorder="1" applyAlignment="1">
      <alignment horizontal="center"/>
    </xf>
    <xf numFmtId="0" fontId="1" fillId="6" borderId="11" xfId="0" applyFont="1" applyFill="1" applyBorder="1" applyAlignment="1">
      <alignment horizontal="center"/>
    </xf>
    <xf numFmtId="0" fontId="1" fillId="6" borderId="12" xfId="0" applyFont="1" applyFill="1" applyBorder="1" applyAlignment="1">
      <alignment horizontal="center"/>
    </xf>
    <xf numFmtId="180" fontId="1" fillId="6" borderId="10" xfId="0" applyNumberFormat="1" applyFont="1" applyFill="1" applyBorder="1" applyAlignment="1">
      <alignment horizontal="center"/>
    </xf>
    <xf numFmtId="181" fontId="1" fillId="6" borderId="9" xfId="0" applyNumberFormat="1" applyFont="1" applyFill="1" applyBorder="1" applyAlignment="1">
      <alignment horizontal="center"/>
    </xf>
    <xf numFmtId="0" fontId="1" fillId="6" borderId="8" xfId="0" applyFont="1" applyFill="1" applyBorder="1" applyAlignment="1">
      <alignment horizontal="center"/>
    </xf>
    <xf numFmtId="181" fontId="1" fillId="6" borderId="8" xfId="0" applyNumberFormat="1" applyFont="1" applyFill="1" applyBorder="1" applyAlignment="1">
      <alignment horizontal="center"/>
    </xf>
    <xf numFmtId="0" fontId="2" fillId="7" borderId="0" xfId="0" applyFont="1" applyFill="1" applyAlignment="1">
      <alignment horizontal="center"/>
    </xf>
    <xf numFmtId="0" fontId="0" fillId="3" borderId="4" xfId="0" applyNumberFormat="1" applyFont="1" applyFill="1" applyBorder="1" applyAlignment="1">
      <alignment horizontal="justify" vertical="center" wrapText="1"/>
    </xf>
    <xf numFmtId="0" fontId="0" fillId="5" borderId="7" xfId="0" applyNumberFormat="1" applyFont="1" applyFill="1" applyBorder="1" applyAlignment="1">
      <alignment horizontal="justify" vertical="center" wrapText="1"/>
    </xf>
    <xf numFmtId="0" fontId="1" fillId="2" borderId="4" xfId="0" applyFont="1" applyFill="1" applyBorder="1" applyAlignment="1">
      <alignment horizontal="center" vertical="center"/>
    </xf>
    <xf numFmtId="0" fontId="1" fillId="2" borderId="5" xfId="0" applyFont="1" applyFill="1" applyBorder="1" applyAlignment="1">
      <alignment horizontal="center" vertical="center"/>
    </xf>
    <xf numFmtId="180" fontId="1" fillId="2" borderId="5" xfId="0" applyNumberFormat="1" applyFont="1" applyFill="1" applyBorder="1" applyAlignment="1">
      <alignment horizontal="center" vertical="center"/>
    </xf>
    <xf numFmtId="0" fontId="0" fillId="6" borderId="13" xfId="0" applyFont="1" applyFill="1" applyBorder="1" applyAlignment="1">
      <alignment horizontal="center"/>
    </xf>
    <xf numFmtId="0" fontId="3" fillId="6" borderId="14" xfId="0" applyFont="1" applyFill="1" applyBorder="1" applyAlignment="1">
      <alignment horizontal="center" vertical="center"/>
    </xf>
    <xf numFmtId="0" fontId="4" fillId="6" borderId="14" xfId="0" applyFont="1" applyFill="1" applyBorder="1"/>
    <xf numFmtId="180" fontId="3" fillId="6" borderId="15" xfId="0" applyNumberFormat="1" applyFont="1" applyFill="1" applyBorder="1" applyAlignment="1">
      <alignment horizontal="center" vertical="center"/>
    </xf>
    <xf numFmtId="0" fontId="0" fillId="3" borderId="4" xfId="0" applyNumberFormat="1" applyFont="1" applyFill="1" applyBorder="1" applyAlignment="1">
      <alignment horizontal="center" vertical="center" wrapText="1"/>
    </xf>
    <xf numFmtId="180" fontId="0" fillId="3" borderId="4" xfId="0" applyNumberFormat="1" applyFont="1" applyFill="1" applyBorder="1" applyAlignment="1">
      <alignment horizontal="center" vertical="center"/>
    </xf>
    <xf numFmtId="0" fontId="0" fillId="5" borderId="7" xfId="0" applyNumberFormat="1" applyFont="1" applyFill="1" applyBorder="1" applyAlignment="1">
      <alignment horizontal="center" vertical="center" wrapText="1"/>
    </xf>
    <xf numFmtId="180" fontId="0" fillId="5" borderId="7" xfId="0" applyNumberFormat="1" applyFont="1" applyFill="1" applyBorder="1" applyAlignment="1">
      <alignment horizontal="center" vertical="center"/>
    </xf>
    <xf numFmtId="0" fontId="0" fillId="0" borderId="0" xfId="0" applyAlignment="1">
      <alignment horizontal="center"/>
    </xf>
    <xf numFmtId="0" fontId="0" fillId="0" borderId="0" xfId="0" applyAlignment="1">
      <alignment horizontal="center" vertical="center" wrapText="1"/>
    </xf>
    <xf numFmtId="0" fontId="0" fillId="0" borderId="0" xfId="0" applyNumberFormat="1" applyAlignment="1">
      <alignment horizontal="center" vertical="center"/>
    </xf>
    <xf numFmtId="0" fontId="2" fillId="0" borderId="0" xfId="0" applyFont="1" applyAlignment="1">
      <alignment horizontal="justify" vertical="top" wrapText="1"/>
    </xf>
    <xf numFmtId="181" fontId="0" fillId="4" borderId="0" xfId="0" applyNumberFormat="1" applyFill="1" applyAlignment="1">
      <alignment horizontal="center" vertical="center"/>
    </xf>
    <xf numFmtId="0" fontId="5" fillId="0" borderId="0" xfId="0" applyFont="1" applyAlignment="1">
      <alignment horizontal="center" vertical="center"/>
    </xf>
    <xf numFmtId="181" fontId="0" fillId="0" borderId="0" xfId="0" applyNumberFormat="1" applyAlignment="1">
      <alignment horizontal="center" vertical="center"/>
    </xf>
    <xf numFmtId="0" fontId="6" fillId="0" borderId="0" xfId="0" applyFont="1" applyFill="1" applyBorder="1" applyAlignment="1">
      <alignment horizontal="justify" vertical="center" wrapText="1"/>
    </xf>
    <xf numFmtId="0" fontId="1" fillId="2" borderId="16" xfId="0" applyFont="1" applyFill="1" applyBorder="1" applyAlignment="1">
      <alignment horizontal="center" vertical="center"/>
    </xf>
    <xf numFmtId="180" fontId="1" fillId="2" borderId="16" xfId="0" applyNumberFormat="1" applyFont="1" applyFill="1" applyBorder="1" applyAlignment="1">
      <alignment horizontal="center" vertical="center"/>
    </xf>
    <xf numFmtId="0" fontId="0" fillId="6" borderId="0" xfId="0" applyFill="1" applyAlignment="1">
      <alignment horizontal="center"/>
    </xf>
    <xf numFmtId="0" fontId="3" fillId="6" borderId="0" xfId="0" applyFont="1" applyFill="1" applyAlignment="1">
      <alignment horizontal="center" vertical="center"/>
    </xf>
    <xf numFmtId="0" fontId="4" fillId="6" borderId="0" xfId="0" applyFont="1" applyFill="1"/>
    <xf numFmtId="180" fontId="3" fillId="6" borderId="0" xfId="0" applyNumberFormat="1" applyFont="1" applyFill="1" applyAlignment="1">
      <alignment horizontal="center" vertical="center"/>
    </xf>
    <xf numFmtId="0" fontId="0" fillId="6" borderId="0" xfId="0" applyFill="1" applyAlignment="1">
      <alignment horizontal="center" vertical="center"/>
    </xf>
    <xf numFmtId="0" fontId="3" fillId="6" borderId="0" xfId="0" applyFont="1" applyFill="1" applyAlignment="1">
      <alignment horizontal="center" vertical="center" wrapText="1"/>
    </xf>
    <xf numFmtId="181" fontId="4" fillId="6" borderId="0" xfId="0" applyNumberFormat="1" applyFont="1" applyFill="1" applyAlignment="1">
      <alignment horizontal="center" vertical="center"/>
    </xf>
    <xf numFmtId="181" fontId="3" fillId="6" borderId="0" xfId="0" applyNumberFormat="1" applyFont="1" applyFill="1" applyAlignment="1">
      <alignment horizontal="center" vertical="center"/>
    </xf>
    <xf numFmtId="0" fontId="2" fillId="0" borderId="17" xfId="0" applyFont="1" applyBorder="1" applyAlignment="1">
      <alignment horizontal="center"/>
    </xf>
    <xf numFmtId="0" fontId="2" fillId="0" borderId="0" xfId="0" applyFont="1" applyAlignment="1">
      <alignment horizontal="center"/>
    </xf>
    <xf numFmtId="183" fontId="0" fillId="8" borderId="0" xfId="9" applyFont="1" applyFill="1" applyAlignment="1">
      <alignment horizontal="center" vertical="center"/>
    </xf>
    <xf numFmtId="180" fontId="0" fillId="8" borderId="0" xfId="0" applyNumberFormat="1" applyFill="1" applyAlignment="1">
      <alignment horizontal="center"/>
    </xf>
    <xf numFmtId="0" fontId="0" fillId="8" borderId="0" xfId="0" applyFill="1" applyAlignment="1">
      <alignment horizontal="center" vertical="center"/>
    </xf>
    <xf numFmtId="9" fontId="0" fillId="8" borderId="0" xfId="0" applyNumberFormat="1" applyFill="1" applyAlignment="1">
      <alignment horizontal="center" vertical="center"/>
    </xf>
    <xf numFmtId="179" fontId="0" fillId="8" borderId="0" xfId="0" applyNumberFormat="1" applyFill="1" applyAlignment="1">
      <alignment horizontal="center" vertical="center"/>
    </xf>
    <xf numFmtId="0" fontId="7" fillId="0" borderId="0" xfId="0" applyFont="1" applyFill="1" applyAlignment="1">
      <alignment horizontal="center" vertical="center"/>
    </xf>
    <xf numFmtId="180" fontId="7" fillId="4" borderId="0" xfId="0" applyNumberFormat="1" applyFont="1" applyFill="1" applyAlignment="1">
      <alignment horizontal="center" vertical="center"/>
    </xf>
    <xf numFmtId="0" fontId="1" fillId="6" borderId="18" xfId="0" applyFont="1" applyFill="1" applyBorder="1" applyAlignment="1">
      <alignment horizontal="center"/>
    </xf>
    <xf numFmtId="0" fontId="7" fillId="9" borderId="0" xfId="0" applyFont="1" applyFill="1" applyAlignment="1">
      <alignment horizontal="center"/>
    </xf>
    <xf numFmtId="10" fontId="7" fillId="9" borderId="0" xfId="0" applyNumberFormat="1" applyFont="1" applyFill="1" applyAlignment="1">
      <alignment horizontal="center"/>
    </xf>
    <xf numFmtId="0" fontId="0" fillId="0" borderId="0" xfId="0" applyFont="1" applyFill="1" applyAlignment="1"/>
    <xf numFmtId="10" fontId="0" fillId="0" borderId="0" xfId="0" applyNumberFormat="1" applyFont="1" applyFill="1" applyAlignment="1"/>
    <xf numFmtId="181" fontId="0" fillId="0" borderId="0" xfId="0" applyNumberFormat="1" applyAlignment="1">
      <alignment horizontal="center"/>
    </xf>
    <xf numFmtId="0" fontId="1" fillId="6" borderId="0" xfId="0" applyFont="1" applyFill="1" applyAlignment="1">
      <alignment horizontal="center"/>
    </xf>
    <xf numFmtId="10" fontId="0" fillId="0" borderId="0" xfId="4" applyNumberFormat="1" applyAlignment="1">
      <alignment horizontal="center" vertical="center"/>
    </xf>
    <xf numFmtId="181" fontId="0" fillId="0" borderId="0" xfId="0" applyNumberFormat="1"/>
    <xf numFmtId="0" fontId="8" fillId="10" borderId="0" xfId="0" applyFont="1" applyFill="1" applyBorder="1" applyAlignment="1">
      <alignment horizontal="center" vertical="center"/>
    </xf>
    <xf numFmtId="0" fontId="9" fillId="11" borderId="19" xfId="0" applyFont="1" applyFill="1" applyBorder="1" applyAlignment="1">
      <alignment horizontal="center" vertical="center"/>
    </xf>
    <xf numFmtId="184" fontId="10" fillId="12" borderId="20" xfId="0" applyNumberFormat="1" applyFont="1" applyFill="1" applyBorder="1" applyAlignment="1">
      <alignment horizontal="center" vertical="center"/>
    </xf>
    <xf numFmtId="0" fontId="0" fillId="0" borderId="0" xfId="0" applyAlignment="1"/>
    <xf numFmtId="0" fontId="9" fillId="13" borderId="20" xfId="0" applyFont="1" applyFill="1" applyBorder="1" applyAlignment="1">
      <alignment horizontal="center" vertical="center"/>
    </xf>
    <xf numFmtId="184" fontId="9" fillId="12" borderId="20" xfId="0" applyNumberFormat="1" applyFont="1" applyFill="1" applyBorder="1" applyAlignment="1">
      <alignment horizontal="center" vertical="center"/>
    </xf>
    <xf numFmtId="0" fontId="0" fillId="0" borderId="0" xfId="0" applyAlignment="1">
      <alignment vertical="center" wrapText="1"/>
    </xf>
    <xf numFmtId="10" fontId="0" fillId="0" borderId="0" xfId="4" applyNumberFormat="1" applyFont="1" applyAlignment="1">
      <alignment horizontal="center"/>
    </xf>
    <xf numFmtId="10" fontId="0" fillId="14" borderId="0" xfId="4" applyNumberFormat="1" applyFont="1" applyFill="1" applyAlignment="1">
      <alignment horizontal="center"/>
    </xf>
    <xf numFmtId="181" fontId="0" fillId="14" borderId="0" xfId="0" applyNumberFormat="1" applyFill="1" applyAlignment="1">
      <alignment horizontal="center"/>
    </xf>
    <xf numFmtId="10" fontId="0" fillId="0" borderId="0" xfId="0" applyNumberFormat="1" applyAlignment="1">
      <alignment horizontal="center"/>
    </xf>
    <xf numFmtId="0" fontId="0" fillId="14" borderId="0" xfId="0" applyFill="1" applyAlignment="1">
      <alignment horizontal="center"/>
    </xf>
    <xf numFmtId="0" fontId="0" fillId="0" borderId="0" xfId="0" applyAlignment="1">
      <alignment wrapText="1"/>
    </xf>
    <xf numFmtId="10" fontId="0" fillId="14" borderId="0" xfId="4" applyNumberFormat="1" applyFill="1" applyAlignment="1">
      <alignment horizontal="center" vertical="center"/>
    </xf>
    <xf numFmtId="181" fontId="0" fillId="14" borderId="0" xfId="0" applyNumberFormat="1" applyFill="1" applyAlignment="1">
      <alignment horizontal="center" vertical="center"/>
    </xf>
    <xf numFmtId="0" fontId="1" fillId="6" borderId="0" xfId="0" applyFont="1" applyFill="1" applyAlignment="1">
      <alignment horizontal="center" wrapText="1"/>
    </xf>
    <xf numFmtId="0" fontId="2" fillId="0" borderId="0" xfId="0" applyFont="1" applyBorder="1" applyAlignment="1">
      <alignment horizontal="center"/>
    </xf>
    <xf numFmtId="180" fontId="0" fillId="0" borderId="0" xfId="0" applyNumberFormat="1" applyAlignment="1">
      <alignment horizontal="center"/>
    </xf>
    <xf numFmtId="180" fontId="0" fillId="0" borderId="0" xfId="0" applyNumberFormat="1" applyAlignment="1">
      <alignment horizontal="center" vertical="center"/>
    </xf>
    <xf numFmtId="10" fontId="0" fillId="0" borderId="0" xfId="4" applyNumberFormat="1" applyAlignment="1">
      <alignment horizontal="center"/>
    </xf>
    <xf numFmtId="180" fontId="0" fillId="14" borderId="0" xfId="0" applyNumberFormat="1" applyFill="1" applyAlignment="1">
      <alignment horizontal="center" vertical="center"/>
    </xf>
    <xf numFmtId="0" fontId="8" fillId="10" borderId="21" xfId="0" applyFont="1" applyFill="1" applyBorder="1" applyAlignment="1">
      <alignment horizontal="center" vertical="center"/>
    </xf>
    <xf numFmtId="0" fontId="10" fillId="11" borderId="19" xfId="0" applyFont="1" applyFill="1" applyBorder="1" applyAlignment="1">
      <alignment horizontal="left" vertical="center"/>
    </xf>
    <xf numFmtId="10" fontId="10" fillId="12" borderId="0" xfId="4" applyNumberFormat="1" applyFont="1" applyFill="1" applyBorder="1" applyAlignment="1" applyProtection="1">
      <alignment horizontal="center" vertical="center"/>
    </xf>
    <xf numFmtId="0" fontId="10" fillId="13" borderId="20" xfId="0" applyFont="1" applyFill="1" applyBorder="1" applyAlignment="1">
      <alignment horizontal="left" vertical="center"/>
    </xf>
    <xf numFmtId="184" fontId="10" fillId="12" borderId="0" xfId="0" applyNumberFormat="1" applyFont="1" applyFill="1" applyAlignment="1">
      <alignment horizontal="center" vertical="center"/>
    </xf>
    <xf numFmtId="182" fontId="10" fillId="12" borderId="0" xfId="0" applyNumberFormat="1" applyFont="1" applyFill="1" applyAlignment="1">
      <alignment horizontal="center" vertical="center"/>
    </xf>
    <xf numFmtId="0" fontId="0" fillId="0" borderId="0" xfId="0" applyNumberFormat="1" applyAlignment="1">
      <alignment horizontal="center"/>
    </xf>
    <xf numFmtId="0" fontId="1" fillId="6" borderId="0" xfId="0" applyFont="1" applyFill="1"/>
    <xf numFmtId="181" fontId="1" fillId="6" borderId="0" xfId="0" applyNumberFormat="1" applyFont="1" applyFill="1" applyAlignment="1">
      <alignment horizontal="center"/>
    </xf>
    <xf numFmtId="183" fontId="0" fillId="8" borderId="0" xfId="9" applyFont="1" applyFill="1" applyAlignment="1">
      <alignment horizontal="center"/>
    </xf>
    <xf numFmtId="2" fontId="0" fillId="8" borderId="0" xfId="0" applyNumberFormat="1" applyFill="1" applyAlignment="1">
      <alignment horizontal="center"/>
    </xf>
    <xf numFmtId="0" fontId="0" fillId="8" borderId="0" xfId="0" applyFill="1" applyAlignment="1">
      <alignment horizontal="center"/>
    </xf>
    <xf numFmtId="9" fontId="0" fillId="8" borderId="0" xfId="0" applyNumberFormat="1" applyFill="1" applyAlignment="1">
      <alignment horizontal="center"/>
    </xf>
    <xf numFmtId="10" fontId="0" fillId="0" borderId="0" xfId="0" applyNumberFormat="1"/>
    <xf numFmtId="10" fontId="0" fillId="8" borderId="0" xfId="4" applyNumberFormat="1" applyFont="1" applyFill="1" applyAlignment="1"/>
    <xf numFmtId="10" fontId="0" fillId="0" borderId="0" xfId="4" applyNumberFormat="1" applyFont="1" applyAlignment="1"/>
    <xf numFmtId="185" fontId="0" fillId="0" borderId="0" xfId="0" applyNumberFormat="1" applyAlignment="1"/>
    <xf numFmtId="0" fontId="2" fillId="0" borderId="0" xfId="0" applyFont="1" applyBorder="1" applyAlignment="1">
      <alignment horizontal="center" vertical="center"/>
    </xf>
    <xf numFmtId="0" fontId="2" fillId="0" borderId="0" xfId="0" applyFont="1" applyBorder="1" applyAlignment="1">
      <alignment vertical="center"/>
    </xf>
    <xf numFmtId="0" fontId="0" fillId="0" borderId="0" xfId="0" applyAlignment="1">
      <alignment horizontal="center" vertical="center"/>
    </xf>
    <xf numFmtId="0" fontId="0" fillId="0" borderId="0" xfId="0" applyAlignment="1">
      <alignment horizontal="left" vertical="center" wrapText="1"/>
    </xf>
    <xf numFmtId="0" fontId="0" fillId="0" borderId="0" xfId="0" applyAlignment="1">
      <alignment horizontal="left" vertical="center"/>
    </xf>
    <xf numFmtId="181" fontId="0" fillId="0" borderId="0" xfId="0" applyNumberFormat="1" applyAlignment="1">
      <alignment horizontal="center" vertical="center" wrapText="1"/>
    </xf>
    <xf numFmtId="0" fontId="0" fillId="0" borderId="0" xfId="0" applyAlignment="1">
      <alignment vertical="center"/>
    </xf>
    <xf numFmtId="181" fontId="4" fillId="6" borderId="0" xfId="0" applyNumberFormat="1" applyFont="1" applyFill="1" applyAlignment="1">
      <alignment horizontal="center"/>
    </xf>
  </cellXfs>
  <cellStyles count="50">
    <cellStyle name="Normal" xfId="0" builtinId="0"/>
    <cellStyle name="Comma" xfId="1" builtinId="3"/>
    <cellStyle name="Comma [0]" xfId="2" builtinId="6"/>
    <cellStyle name="40% - Ênfase 4" xfId="3" builtinId="43"/>
    <cellStyle name="Porcentagem" xfId="4" builtinId="5"/>
    <cellStyle name="Célula Vinculada" xfId="5" builtinId="24"/>
    <cellStyle name="Célula de Verificação" xfId="6" builtinId="23"/>
    <cellStyle name="Moeda [0]" xfId="7" builtinId="7"/>
    <cellStyle name="20% - Ênfase 3" xfId="8" builtinId="38"/>
    <cellStyle name="Moeda" xfId="9" builtinId="4"/>
    <cellStyle name="Hyperlink seguido" xfId="10" builtinId="9"/>
    <cellStyle name="Hyperlink" xfId="11" builtinId="8"/>
    <cellStyle name="40% - Ênfase 2" xfId="12" builtinId="35"/>
    <cellStyle name="Observação" xfId="13" builtinId="10"/>
    <cellStyle name="40% - Ênfase 6" xfId="14" builtinId="51"/>
    <cellStyle name="Texto de Aviso" xfId="15" builtinId="11"/>
    <cellStyle name="Título" xfId="16" builtinId="15"/>
    <cellStyle name="Texto Explicativo" xfId="17" builtinId="53"/>
    <cellStyle name="Ênfase 3" xfId="18" builtinId="37"/>
    <cellStyle name="Título 1" xfId="19" builtinId="16"/>
    <cellStyle name="Ênfase 4" xfId="20" builtinId="41"/>
    <cellStyle name="Título 2" xfId="21" builtinId="17"/>
    <cellStyle name="Ênfase 5" xfId="22" builtinId="45"/>
    <cellStyle name="Título 3" xfId="23" builtinId="18"/>
    <cellStyle name="Ênfase 6" xfId="24" builtinId="49"/>
    <cellStyle name="Título 4" xfId="25" builtinId="19"/>
    <cellStyle name="Entrada" xfId="26" builtinId="20"/>
    <cellStyle name="Saída" xfId="27" builtinId="21"/>
    <cellStyle name="Cálculo" xfId="28" builtinId="22"/>
    <cellStyle name="Total" xfId="29" builtinId="25"/>
    <cellStyle name="40% - Ênfase 1" xfId="30" builtinId="31"/>
    <cellStyle name="Bom" xfId="31" builtinId="26"/>
    <cellStyle name="Ruim" xfId="32" builtinId="27"/>
    <cellStyle name="Neutro" xfId="33" builtinId="28"/>
    <cellStyle name="20% - Ênfase 5" xfId="34" builtinId="46"/>
    <cellStyle name="Ênfase 1" xfId="35" builtinId="29"/>
    <cellStyle name="20% - Ênfase 1" xfId="36" builtinId="30"/>
    <cellStyle name="60% - Ênfase 1" xfId="37" builtinId="32"/>
    <cellStyle name="20% - Ênfase 6" xfId="38" builtinId="50"/>
    <cellStyle name="Ênfase 2" xfId="39" builtinId="33"/>
    <cellStyle name="20% - Ênfase 2" xfId="40" builtinId="34"/>
    <cellStyle name="60% - Ênfase 2" xfId="41" builtinId="36"/>
    <cellStyle name="40% - Ênfase 3" xfId="42" builtinId="39"/>
    <cellStyle name="Excel Built-in Normal" xfId="43"/>
    <cellStyle name="60% - Ênfase 3" xfId="44" builtinId="40"/>
    <cellStyle name="20% - Ênfase 4" xfId="45" builtinId="42"/>
    <cellStyle name="60% - Ênfase 4" xfId="46" builtinId="44"/>
    <cellStyle name="40% - Ênfase 5" xfId="47" builtinId="47"/>
    <cellStyle name="60% - Ênfase 5" xfId="48" builtinId="48"/>
    <cellStyle name="60% - Ênfase 6" xfId="49" builtinId="52"/>
  </cellStyles>
  <dxfs count="230">
    <dxf>
      <alignment horizontal="center"/>
    </dxf>
    <dxf>
      <numFmt numFmtId="181" formatCode="&quot;R$&quot;\ #,##0.00"/>
      <alignment horizontal="center" vertical="center"/>
    </dxf>
    <dxf>
      <alignment horizontal="center"/>
    </dxf>
    <dxf>
      <alignment horizontal="center"/>
    </dxf>
    <dxf>
      <alignment horizontal="center"/>
    </dxf>
    <dxf>
      <numFmt numFmtId="181" formatCode="&quot;R$&quot;\ #,##0.00"/>
      <alignment horizontal="center" vertical="center"/>
    </dxf>
    <dxf>
      <alignment horizontal="center"/>
    </dxf>
    <dxf>
      <numFmt numFmtId="181" formatCode="&quot;R$&quot;\ #,##0.00"/>
      <alignment horizontal="center"/>
    </dxf>
    <dxf>
      <alignment horizontal="center"/>
    </dxf>
    <dxf>
      <numFmt numFmtId="181" formatCode="&quot;R$&quot;\ #,##0.00"/>
      <alignment horizontal="center" vertical="center"/>
    </dxf>
    <dxf>
      <numFmt numFmtId="181" formatCode="&quot;R$&quot;\ #,##0.00"/>
      <alignment horizontal="center" vertical="center"/>
    </dxf>
    <dxf>
      <numFmt numFmtId="181" formatCode="&quot;R$&quot;\ #,##0.00"/>
      <alignment horizontal="center"/>
    </dxf>
    <dxf>
      <alignment horizontal="center"/>
    </dxf>
    <dxf>
      <numFmt numFmtId="181" formatCode="&quot;R$&quot;\ #,##0.00"/>
      <alignment horizontal="center" vertical="center"/>
    </dxf>
    <dxf>
      <numFmt numFmtId="10" formatCode="0.00%"/>
      <alignment horizontal="center"/>
    </dxf>
    <dxf>
      <numFmt numFmtId="181" formatCode="&quot;R$&quot;\ #,##0.00"/>
      <alignment horizontal="center"/>
    </dxf>
    <dxf>
      <alignment horizontal="center"/>
    </dxf>
    <dxf>
      <numFmt numFmtId="181" formatCode="&quot;R$&quot;\ #,##0.00"/>
      <alignment horizontal="center" vertical="center"/>
    </dxf>
    <dxf>
      <numFmt numFmtId="181" formatCode="&quot;R$&quot;\ #,##0.00"/>
      <alignment horizontal="center" vertical="center"/>
    </dxf>
    <dxf>
      <numFmt numFmtId="181" formatCode="&quot;R$&quot;\ #,##0.00"/>
      <alignment horizontal="center"/>
    </dxf>
    <dxf>
      <alignment horizontal="center"/>
    </dxf>
    <dxf>
      <numFmt numFmtId="181" formatCode="&quot;R$&quot;\ #,##0.00"/>
      <alignment horizontal="center" vertical="center"/>
    </dxf>
    <dxf>
      <alignment horizontal="center"/>
    </dxf>
    <dxf>
      <alignment horizontal="center"/>
    </dxf>
    <dxf>
      <alignment horizontal="center"/>
    </dxf>
    <dxf>
      <numFmt numFmtId="181" formatCode="&quot;R$&quot;\ #,##0.00"/>
      <alignment horizontal="center" vertical="center"/>
    </dxf>
    <dxf>
      <numFmt numFmtId="181" formatCode="&quot;R$&quot;\ #,##0.00"/>
      <alignment horizontal="center" vertical="center"/>
    </dxf>
    <dxf>
      <numFmt numFmtId="181" formatCode="&quot;R$&quot;\ #,##0.00"/>
      <alignment horizontal="center"/>
    </dxf>
    <dxf>
      <alignment horizontal="center"/>
    </dxf>
    <dxf>
      <numFmt numFmtId="181" formatCode="&quot;R$&quot;\ #,##0.00"/>
      <alignment horizontal="center" vertical="center"/>
    </dxf>
    <dxf>
      <alignment horizontal="center"/>
    </dxf>
    <dxf>
      <numFmt numFmtId="181" formatCode="&quot;R$&quot;\ #,##0.00"/>
      <alignment horizontal="center"/>
    </dxf>
    <dxf>
      <alignment horizontal="center"/>
    </dxf>
    <dxf>
      <numFmt numFmtId="181" formatCode="&quot;R$&quot;\ #,##0.00"/>
      <alignment horizontal="center" vertical="center"/>
    </dxf>
    <dxf>
      <alignment horizontal="center"/>
    </dxf>
    <dxf>
      <numFmt numFmtId="181" formatCode="&quot;R$&quot;\ #,##0.00"/>
      <alignment horizontal="center"/>
    </dxf>
    <dxf>
      <alignment horizontal="center"/>
    </dxf>
    <dxf>
      <numFmt numFmtId="181" formatCode="&quot;R$&quot;\ #,##0.00"/>
      <alignment horizontal="center" vertical="center"/>
    </dxf>
    <dxf>
      <numFmt numFmtId="181" formatCode="&quot;R$&quot;\ #,##0.00"/>
      <alignment horizontal="center" vertical="center"/>
    </dxf>
    <dxf>
      <numFmt numFmtId="181" formatCode="&quot;R$&quot;\ #,##0.00"/>
      <alignment horizontal="center"/>
    </dxf>
    <dxf>
      <alignment horizontal="center"/>
    </dxf>
    <dxf>
      <numFmt numFmtId="181" formatCode="&quot;R$&quot;\ #,##0.00"/>
      <alignment horizontal="center" vertical="center"/>
    </dxf>
    <dxf>
      <numFmt numFmtId="181" formatCode="&quot;R$&quot;\ #,##0.00"/>
      <alignment horizontal="center" vertical="center"/>
    </dxf>
    <dxf>
      <numFmt numFmtId="181" formatCode="&quot;R$&quot;\ #,##0.00"/>
      <alignment horizontal="center"/>
    </dxf>
    <dxf>
      <alignment horizontal="center"/>
    </dxf>
    <dxf>
      <numFmt numFmtId="181" formatCode="&quot;R$&quot;\ #,##0.00"/>
      <alignment horizontal="center" vertical="center"/>
    </dxf>
    <dxf>
      <numFmt numFmtId="10" formatCode="0.00%"/>
      <alignment horizontal="center"/>
    </dxf>
    <dxf>
      <alignment horizontal="center"/>
    </dxf>
    <dxf>
      <numFmt numFmtId="181" formatCode="&quot;R$&quot;\ #,##0.00"/>
      <alignment horizontal="center" vertical="center"/>
    </dxf>
    <dxf>
      <numFmt numFmtId="181" formatCode="&quot;R$&quot;\ #,##0.00"/>
      <alignment horizontal="center" vertical="center"/>
    </dxf>
    <dxf>
      <numFmt numFmtId="181" formatCode="&quot;R$&quot;\ #,##0.00"/>
      <alignment horizontal="center" vertical="center"/>
    </dxf>
    <dxf>
      <numFmt numFmtId="181" formatCode="&quot;R$&quot;\ #,##0.00"/>
      <alignment horizontal="center"/>
    </dxf>
    <dxf>
      <numFmt numFmtId="181" formatCode="&quot;R$&quot;\ #,##0.00"/>
      <alignment horizontal="center" vertical="center"/>
    </dxf>
    <dxf>
      <fill>
        <patternFill patternType="solid">
          <bgColor theme="5" tint="0.399975585192419"/>
        </patternFill>
      </fill>
    </dxf>
    <dxf>
      <numFmt numFmtId="181" formatCode="&quot;R$&quot;\ #,##0.00"/>
      <alignment horizontal="center" vertical="center"/>
    </dxf>
    <dxf>
      <numFmt numFmtId="10" formatCode="0.00%"/>
    </dxf>
    <dxf/>
    <dxf>
      <numFmt numFmtId="10" formatCode="0.00%"/>
    </dxf>
    <dxf>
      <alignment horizontal="center" vertical="center"/>
    </dxf>
    <dxf>
      <alignment horizontal="left" vertical="center"/>
    </dxf>
    <dxf>
      <alignment horizontal="center" vertical="center" wrapText="1"/>
    </dxf>
    <dxf>
      <alignment horizontal="left" vertical="center" wrapText="1"/>
    </dxf>
    <dxf>
      <alignment horizontal="center" vertical="center"/>
    </dxf>
    <dxf>
      <alignment horizontal="left" vertical="center" wrapText="1"/>
    </dxf>
    <dxf>
      <alignment horizontal="left" vertical="center" wrapText="1"/>
    </dxf>
    <dxf>
      <alignment horizontal="left" vertical="center" wrapText="1"/>
    </dxf>
    <dxf>
      <alignment horizontal="center" vertical="center"/>
    </dxf>
    <dxf>
      <alignment horizontal="left" vertical="center"/>
    </dxf>
    <dxf>
      <alignment horizontal="center" vertical="center" wrapText="1"/>
    </dxf>
    <dxf>
      <alignment horizontal="center" vertical="center"/>
    </dxf>
    <dxf>
      <alignment horizontal="center" vertical="center"/>
    </dxf>
    <dxf>
      <alignment horizontal="left" vertical="center"/>
    </dxf>
    <dxf>
      <alignment horizontal="center" vertical="center" wrapText="1"/>
    </dxf>
    <dxf>
      <alignment horizontal="center" vertical="center"/>
    </dxf>
    <dxf>
      <alignment horizontal="center" vertical="center"/>
    </dxf>
    <dxf>
      <alignment horizontal="left" vertical="center"/>
    </dxf>
    <dxf>
      <alignment horizontal="center" vertical="center" wrapText="1"/>
    </dxf>
    <dxf>
      <alignment horizontal="center" vertical="center"/>
    </dxf>
    <dxf>
      <alignment horizontal="center" vertical="center"/>
    </dxf>
    <dxf>
      <alignment horizontal="left" vertical="center"/>
    </dxf>
    <dxf>
      <alignment horizontal="center" vertical="center" wrapText="1"/>
    </dxf>
    <dxf>
      <alignment horizontal="center" vertical="center"/>
    </dxf>
    <dxf/>
    <dxf>
      <numFmt numFmtId="185" formatCode="&quot;R$&quot;#,##0.00"/>
    </dxf>
    <dxf>
      <alignment horizontal="center"/>
    </dxf>
    <dxf>
      <numFmt numFmtId="181" formatCode="&quot;R$&quot;\ #,##0.00"/>
      <alignment horizontal="center" vertical="center"/>
    </dxf>
    <dxf>
      <alignment horizontal="center"/>
    </dxf>
    <dxf>
      <alignment horizontal="center"/>
    </dxf>
    <dxf>
      <alignment horizontal="center"/>
    </dxf>
    <dxf>
      <numFmt numFmtId="181" formatCode="&quot;R$&quot;\ #,##0.00"/>
      <alignment horizontal="center" vertical="center"/>
    </dxf>
    <dxf>
      <alignment horizontal="center"/>
    </dxf>
    <dxf>
      <numFmt numFmtId="181" formatCode="&quot;R$&quot;\ #,##0.00"/>
      <alignment horizontal="center"/>
    </dxf>
    <dxf>
      <alignment horizontal="center"/>
    </dxf>
    <dxf>
      <numFmt numFmtId="181" formatCode="&quot;R$&quot;\ #,##0.00"/>
      <alignment horizontal="center" vertical="center"/>
    </dxf>
    <dxf>
      <numFmt numFmtId="181" formatCode="&quot;R$&quot;\ #,##0.00"/>
      <alignment horizontal="center" vertical="center"/>
    </dxf>
    <dxf>
      <numFmt numFmtId="181" formatCode="&quot;R$&quot;\ #,##0.00"/>
      <alignment horizontal="center"/>
    </dxf>
    <dxf>
      <alignment horizontal="center"/>
    </dxf>
    <dxf>
      <numFmt numFmtId="181" formatCode="&quot;R$&quot;\ #,##0.00"/>
      <alignment horizontal="center" vertical="center"/>
    </dxf>
    <dxf>
      <numFmt numFmtId="10" formatCode="0.00%"/>
      <alignment horizontal="center"/>
    </dxf>
    <dxf>
      <numFmt numFmtId="181" formatCode="&quot;R$&quot;\ #,##0.00"/>
      <alignment horizontal="center"/>
    </dxf>
    <dxf>
      <alignment horizontal="center"/>
    </dxf>
    <dxf>
      <numFmt numFmtId="181" formatCode="&quot;R$&quot;\ #,##0.00"/>
      <alignment horizontal="center" vertical="center"/>
    </dxf>
    <dxf>
      <numFmt numFmtId="181" formatCode="&quot;R$&quot;\ #,##0.00"/>
      <alignment horizontal="center" vertical="center"/>
    </dxf>
    <dxf>
      <numFmt numFmtId="181" formatCode="&quot;R$&quot;\ #,##0.00"/>
      <alignment horizontal="center"/>
    </dxf>
    <dxf>
      <alignment horizontal="center"/>
    </dxf>
    <dxf>
      <numFmt numFmtId="181" formatCode="&quot;R$&quot;\ #,##0.00"/>
      <alignment horizontal="center" vertical="center"/>
    </dxf>
    <dxf>
      <alignment horizontal="center"/>
    </dxf>
    <dxf>
      <alignment horizontal="center"/>
    </dxf>
    <dxf>
      <alignment horizontal="center"/>
    </dxf>
    <dxf>
      <numFmt numFmtId="181" formatCode="&quot;R$&quot;\ #,##0.00"/>
      <alignment horizontal="center" vertical="center"/>
    </dxf>
    <dxf>
      <numFmt numFmtId="181" formatCode="&quot;R$&quot;\ #,##0.00"/>
      <alignment horizontal="center" vertical="center"/>
    </dxf>
    <dxf>
      <numFmt numFmtId="181" formatCode="&quot;R$&quot;\ #,##0.00"/>
      <alignment horizontal="center"/>
    </dxf>
    <dxf>
      <alignment horizontal="center"/>
    </dxf>
    <dxf>
      <numFmt numFmtId="181" formatCode="&quot;R$&quot;\ #,##0.00"/>
      <alignment horizontal="center" vertical="center"/>
    </dxf>
    <dxf>
      <alignment horizontal="center"/>
    </dxf>
    <dxf>
      <numFmt numFmtId="181" formatCode="&quot;R$&quot;\ #,##0.00"/>
      <alignment horizontal="center"/>
    </dxf>
    <dxf>
      <alignment horizontal="center"/>
    </dxf>
    <dxf>
      <numFmt numFmtId="181" formatCode="&quot;R$&quot;\ #,##0.00"/>
      <alignment horizontal="center" vertical="center"/>
    </dxf>
    <dxf>
      <alignment horizontal="center"/>
    </dxf>
    <dxf>
      <numFmt numFmtId="181" formatCode="&quot;R$&quot;\ #,##0.00"/>
      <alignment horizontal="center"/>
    </dxf>
    <dxf>
      <alignment horizontal="center"/>
    </dxf>
    <dxf>
      <numFmt numFmtId="181" formatCode="&quot;R$&quot;\ #,##0.00"/>
      <alignment horizontal="center" vertical="center"/>
    </dxf>
    <dxf>
      <numFmt numFmtId="181" formatCode="&quot;R$&quot;\ #,##0.00"/>
      <alignment horizontal="center" vertical="center"/>
    </dxf>
    <dxf>
      <numFmt numFmtId="181" formatCode="&quot;R$&quot;\ #,##0.00"/>
      <alignment horizontal="center"/>
    </dxf>
    <dxf>
      <alignment horizontal="center"/>
    </dxf>
    <dxf>
      <numFmt numFmtId="181" formatCode="&quot;R$&quot;\ #,##0.00"/>
      <alignment horizontal="center" vertical="center"/>
    </dxf>
    <dxf>
      <numFmt numFmtId="181" formatCode="&quot;R$&quot;\ #,##0.00"/>
      <alignment horizontal="center" vertical="center"/>
    </dxf>
    <dxf>
      <numFmt numFmtId="181" formatCode="&quot;R$&quot;\ #,##0.00"/>
      <alignment horizontal="center"/>
    </dxf>
    <dxf>
      <alignment horizontal="center"/>
    </dxf>
    <dxf>
      <numFmt numFmtId="181" formatCode="&quot;R$&quot;\ #,##0.00"/>
      <alignment horizontal="center" vertical="center"/>
    </dxf>
    <dxf>
      <numFmt numFmtId="10" formatCode="0.00%"/>
      <alignment horizontal="center"/>
    </dxf>
    <dxf>
      <alignment horizontal="center"/>
    </dxf>
    <dxf>
      <numFmt numFmtId="181" formatCode="&quot;R$&quot;\ #,##0.00"/>
      <alignment horizontal="center" vertical="center"/>
    </dxf>
    <dxf>
      <numFmt numFmtId="181" formatCode="&quot;R$&quot;\ #,##0.00"/>
      <alignment horizontal="center" vertical="center"/>
    </dxf>
    <dxf>
      <numFmt numFmtId="181" formatCode="&quot;R$&quot;\ #,##0.00"/>
      <alignment horizontal="center" vertical="center"/>
    </dxf>
    <dxf>
      <numFmt numFmtId="181" formatCode="&quot;R$&quot;\ #,##0.00"/>
      <alignment horizontal="center"/>
    </dxf>
    <dxf>
      <numFmt numFmtId="181" formatCode="&quot;R$&quot;\ #,##0.00"/>
      <alignment horizontal="center" vertical="center"/>
    </dxf>
    <dxf>
      <fill>
        <patternFill patternType="solid">
          <bgColor theme="5" tint="0.399975585192419"/>
        </patternFill>
      </fill>
    </dxf>
    <dxf>
      <numFmt numFmtId="181" formatCode="&quot;R$&quot;\ #,##0.00"/>
      <alignment horizontal="center" vertical="center"/>
    </dxf>
    <dxf>
      <numFmt numFmtId="10" formatCode="0.00%"/>
    </dxf>
    <dxf/>
    <dxf>
      <numFmt numFmtId="10" formatCode="0.00%"/>
    </dxf>
    <dxf>
      <alignment horizontal="center" vertical="center"/>
    </dxf>
    <dxf>
      <alignment horizontal="left" vertical="center"/>
    </dxf>
    <dxf>
      <alignment horizontal="center" vertical="center" wrapText="1"/>
    </dxf>
    <dxf>
      <alignment horizontal="left" vertical="center" wrapText="1"/>
    </dxf>
    <dxf>
      <alignment horizontal="center" vertical="center"/>
    </dxf>
    <dxf>
      <alignment horizontal="left" vertical="center" wrapText="1"/>
    </dxf>
    <dxf>
      <alignment horizontal="left" vertical="center" wrapText="1"/>
    </dxf>
    <dxf>
      <alignment horizontal="left" vertical="center" wrapText="1"/>
    </dxf>
    <dxf>
      <alignment horizontal="center" vertical="center"/>
    </dxf>
    <dxf>
      <alignment horizontal="left" vertical="center"/>
    </dxf>
    <dxf>
      <alignment horizontal="center" vertical="center" wrapText="1"/>
    </dxf>
    <dxf>
      <alignment horizontal="center" vertical="center"/>
    </dxf>
    <dxf>
      <alignment horizontal="center" vertical="center"/>
    </dxf>
    <dxf>
      <alignment horizontal="left" vertical="center"/>
    </dxf>
    <dxf>
      <alignment horizontal="center" vertical="center" wrapText="1"/>
    </dxf>
    <dxf>
      <alignment horizontal="center" vertical="center"/>
    </dxf>
    <dxf>
      <alignment horizontal="center" vertical="center"/>
    </dxf>
    <dxf>
      <alignment horizontal="left" vertical="center"/>
    </dxf>
    <dxf>
      <alignment horizontal="center" vertical="center" wrapText="1"/>
    </dxf>
    <dxf>
      <alignment horizontal="center" vertical="center"/>
    </dxf>
    <dxf>
      <alignment horizontal="center" vertical="center"/>
    </dxf>
    <dxf>
      <alignment horizontal="left" vertical="center"/>
    </dxf>
    <dxf>
      <alignment horizontal="center" vertical="center" wrapText="1"/>
    </dxf>
    <dxf>
      <alignment horizontal="center" vertical="center"/>
    </dxf>
    <dxf/>
    <dxf>
      <numFmt numFmtId="185" formatCode="&quot;R$&quot;#,##0.00"/>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wrapText="1"/>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vertical="center"/>
    </dxf>
    <dxf>
      <alignment horizontal="justify" vertical="center" wrapText="1"/>
    </dxf>
    <dxf>
      <numFmt numFmtId="181" formatCode="&quot;R$&quot;\ #,##0.00"/>
      <alignment horizontal="center" vertical="center"/>
    </dxf>
    <dxf>
      <numFmt numFmtId="181" formatCode="&quot;R$&quot;\ #,##0.00"/>
      <fill>
        <patternFill patternType="solid">
          <bgColor theme="5" tint="0.399975585192419"/>
        </patternFill>
      </fill>
      <alignment horizontal="center" vertical="center"/>
    </dxf>
    <dxf>
      <numFmt numFmtId="1" formatCode="0"/>
      <fill>
        <patternFill patternType="solid">
          <bgColor theme="5" tint="0.399975585192419"/>
        </patternFill>
      </fill>
      <alignment horizontal="center" vertical="center"/>
    </dxf>
    <dxf>
      <numFmt numFmtId="181" formatCode="&quot;R$&quot;\ #,##0.00"/>
      <alignment horizontal="center" vertical="center"/>
    </dxf>
    <dxf>
      <border>
        <vertical/>
        <horizontal style="thin">
          <color auto="1"/>
        </horizontal>
      </border>
    </dxf>
    <dxf>
      <border>
        <vertical/>
        <horizontal style="thin">
          <color auto="1"/>
        </horizontal>
      </border>
    </dxf>
  </dxfs>
  <tableStyles count="1" defaultTableStyle="TableStyleMedium2" defaultPivotStyle="PivotStyleLight16">
    <tableStyle name="Table Style 1" pivot="0" count="2">
      <tableStyleElement type="firstRowStripe" dxfId="229"/>
      <tableStyleElement type="firstHeaderCell" dxfId="228"/>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customXml" Target="../customXml/item2.xml"/><Relationship Id="rId8" Type="http://schemas.openxmlformats.org/officeDocument/2006/relationships/customXml" Target="../customXml/item1.xml"/><Relationship Id="rId7" Type="http://schemas.openxmlformats.org/officeDocument/2006/relationships/connections" Target="connections.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7" Type="http://schemas.openxmlformats.org/officeDocument/2006/relationships/sharedStrings" Target="sharedStrings.xml"/><Relationship Id="rId26" Type="http://schemas.openxmlformats.org/officeDocument/2006/relationships/styles" Target="styles.xml"/><Relationship Id="rId25" Type="http://schemas.openxmlformats.org/officeDocument/2006/relationships/theme" Target="theme/theme1.xml"/><Relationship Id="rId24" Type="http://schemas.openxmlformats.org/officeDocument/2006/relationships/customXml" Target="../customXml/item17.xml"/><Relationship Id="rId23" Type="http://schemas.openxmlformats.org/officeDocument/2006/relationships/customXml" Target="../customXml/item16.xml"/><Relationship Id="rId22" Type="http://schemas.openxmlformats.org/officeDocument/2006/relationships/customXml" Target="../customXml/item15.xml"/><Relationship Id="rId21" Type="http://schemas.openxmlformats.org/officeDocument/2006/relationships/customXml" Target="../customXml/item14.xml"/><Relationship Id="rId20" Type="http://schemas.openxmlformats.org/officeDocument/2006/relationships/customXml" Target="../customXml/item13.xml"/><Relationship Id="rId2" Type="http://schemas.openxmlformats.org/officeDocument/2006/relationships/worksheet" Target="worksheets/sheet2.xml"/><Relationship Id="rId19" Type="http://schemas.openxmlformats.org/officeDocument/2006/relationships/customXml" Target="../customXml/item12.xml"/><Relationship Id="rId18" Type="http://schemas.openxmlformats.org/officeDocument/2006/relationships/customXml" Target="../customXml/item11.xml"/><Relationship Id="rId17" Type="http://schemas.openxmlformats.org/officeDocument/2006/relationships/customXml" Target="../customXml/item10.xml"/><Relationship Id="rId16" Type="http://schemas.openxmlformats.org/officeDocument/2006/relationships/customXml" Target="../customXml/item9.xml"/><Relationship Id="rId15" Type="http://schemas.openxmlformats.org/officeDocument/2006/relationships/customXml" Target="../customXml/item8.xml"/><Relationship Id="rId14" Type="http://schemas.openxmlformats.org/officeDocument/2006/relationships/customXml" Target="../customXml/item7.xml"/><Relationship Id="rId13" Type="http://schemas.openxmlformats.org/officeDocument/2006/relationships/customXml" Target="../customXml/item6.xml"/><Relationship Id="rId12" Type="http://schemas.openxmlformats.org/officeDocument/2006/relationships/customXml" Target="../customXml/item5.xml"/><Relationship Id="rId11" Type="http://schemas.openxmlformats.org/officeDocument/2006/relationships/customXml" Target="../customXml/item4.xml"/><Relationship Id="rId10" Type="http://schemas.openxmlformats.org/officeDocument/2006/relationships/customXml" Target="../customXml/item3.xml"/><Relationship Id="rId1" Type="http://schemas.openxmlformats.org/officeDocument/2006/relationships/worksheet" Target="worksheets/sheet1.xml"/></Relationships>
</file>

<file path=xl/tables/table1.xml><?xml version="1.0" encoding="utf-8"?>
<table xmlns="http://schemas.openxmlformats.org/spreadsheetml/2006/main" id="51" name="Table4252" displayName="Table4252" ref="A2:D7" totalsRowShown="0">
  <tableColumns count="4">
    <tableColumn id="1" name="Item" dataDxfId="0"/>
    <tableColumn id="2" name="Descrição" dataDxfId="1"/>
    <tableColumn id="3" name="Comentário" dataDxfId="2"/>
    <tableColumn id="4" name="Valor" dataDxfId="3"/>
  </tableColumns>
  <tableStyleInfo name="TableStyleMedium14" showFirstColumn="0" showLastColumn="0" showRowStripes="1" showColumnStripes="0"/>
</table>
</file>

<file path=xl/tables/table10.xml><?xml version="1.0" encoding="utf-8"?>
<table xmlns="http://schemas.openxmlformats.org/spreadsheetml/2006/main" id="60" name="ResumoMódulo427" displayName="ResumoMódulo427" ref="A110:D113" totalsRowCount="1">
  <autoFilter ref="A110:D112">
    <filterColumn colId="0" hiddenButton="1"/>
    <filterColumn colId="1" hiddenButton="1"/>
    <filterColumn colId="2" hiddenButton="1"/>
    <filterColumn colId="3" hiddenButton="1"/>
  </autoFilter>
  <tableColumns count="4">
    <tableColumn id="1" name="4" totalsRowLabel="Total" dataDxfId="36"/>
    <tableColumn id="2" name="Custo de Reposição do Profissional Ausente" dataDxfId="37"/>
    <tableColumn id="3" name="Comentário" dataDxfId="38"/>
    <tableColumn id="4" name="Valor" totalsRowFunction="sum" dataDxfId="39"/>
  </tableColumns>
  <tableStyleInfo name="TableStyleMedium14" showFirstColumn="0" showLastColumn="0" showRowStripes="1" showColumnStripes="0"/>
</table>
</file>

<file path=xl/tables/table11.xml><?xml version="1.0" encoding="utf-8"?>
<table xmlns="http://schemas.openxmlformats.org/spreadsheetml/2006/main" id="61" name="Módulo528" displayName="Módulo528" ref="A116:D121" totalsRowCount="1">
  <autoFilter ref="A116:D120">
    <filterColumn colId="0" hiddenButton="1"/>
    <filterColumn colId="1" hiddenButton="1"/>
    <filterColumn colId="2" hiddenButton="1"/>
    <filterColumn colId="3" hiddenButton="1"/>
  </autoFilter>
  <tableColumns count="4">
    <tableColumn id="1" name="5" totalsRowLabel="Total" dataDxfId="40"/>
    <tableColumn id="2" name="Insumos Diversos" dataDxfId="41"/>
    <tableColumn id="3" name="Comentário" dataDxfId="42"/>
    <tableColumn id="4" name="Valor" totalsRowFunction="sum" dataDxfId="43"/>
  </tableColumns>
  <tableStyleInfo name="TableStyleMedium14" showFirstColumn="0" showLastColumn="0" showRowStripes="1" showColumnStripes="0"/>
</table>
</file>

<file path=xl/tables/table12.xml><?xml version="1.0" encoding="utf-8"?>
<table xmlns="http://schemas.openxmlformats.org/spreadsheetml/2006/main" id="62" name="Módulo629" displayName="Módulo629" ref="A131:D138" totalsRowCount="1">
  <tableColumns count="4">
    <tableColumn id="1" name="6" totalsRowLabel="Total" dataDxfId="44"/>
    <tableColumn id="2" name="Custos Indiretos, Tributos e Lucro" dataDxfId="45"/>
    <tableColumn id="3" name="Percentual" dataDxfId="46"/>
    <tableColumn id="4" name="Valor" totalsRowFunction="custom">
      <totalsRowFormula>SUM(D132:D134)</totalsRowFormula>
       dataDxfId="47"
    </tableColumn>
  </tableColumns>
  <tableStyleInfo name="TableStyleMedium14" showFirstColumn="0" showLastColumn="0" showRowStripes="1" showColumnStripes="0"/>
</table>
</file>

<file path=xl/tables/table13.xml><?xml version="1.0" encoding="utf-8"?>
<table xmlns="http://schemas.openxmlformats.org/spreadsheetml/2006/main" id="63" name="ResumoPosto30" displayName="ResumoPosto30" ref="A142:D150">
  <autoFilter ref="A142:D150">
    <filterColumn colId="0" hiddenButton="1"/>
    <filterColumn colId="1" hiddenButton="1"/>
    <filterColumn colId="2" hiddenButton="1"/>
    <filterColumn colId="3" hiddenButton="1"/>
  </autoFilter>
  <tableColumns count="4">
    <tableColumn id="1" name="Item" totalsRowLabel="Total" dataDxfId="48"/>
    <tableColumn id="2" name="Mão de obra vinculada à execução contratual" dataDxfId="49"/>
    <tableColumn id="3" name="-" dataDxfId="50"/>
    <tableColumn id="4" name="Valor" totalsRowFunction="sum" dataDxfId="51"/>
  </tableColumns>
  <tableStyleInfo name="TableStyleMedium14" showFirstColumn="0" showLastColumn="0" showRowStripes="1" showColumnStripes="0"/>
</table>
</file>

<file path=xl/tables/table14.xml><?xml version="1.0" encoding="utf-8"?>
<table xmlns="http://schemas.openxmlformats.org/spreadsheetml/2006/main" id="64" name="DadosGerais31" displayName="DadosGerais31" ref="F2:G6" totalsRowShown="0">
  <autoFilter ref="F2:G6">
    <filterColumn colId="0" hiddenButton="1"/>
    <filterColumn colId="1" hiddenButton="1"/>
  </autoFilter>
  <tableColumns count="2">
    <tableColumn id="1" name="Descrição" dataDxfId="52"/>
    <tableColumn id="2" name="Valor" dataDxfId="53"/>
  </tableColumns>
  <tableStyleInfo name="TableStyleMedium14" showFirstColumn="0" showLastColumn="0" showRowStripes="1" showColumnStripes="0"/>
</table>
</file>

<file path=xl/tables/table15.xml><?xml version="1.0" encoding="utf-8"?>
<table xmlns="http://schemas.openxmlformats.org/spreadsheetml/2006/main" id="65" name="DadosDesligamento32" displayName="DadosDesligamento32" ref="F9:G12" totalsRowShown="0">
  <autoFilter ref="F9:G12">
    <filterColumn colId="0" hiddenButton="1"/>
    <filterColumn colId="1" hiddenButton="1"/>
  </autoFilter>
  <tableColumns count="2">
    <tableColumn id="1" name="Tipos" dataDxfId="54"/>
    <tableColumn id="2" name="Percentual" dataDxfId="55"/>
  </tableColumns>
  <tableStyleInfo name="TableStyleMedium14" showFirstColumn="0" showLastColumn="0" showRowStripes="1" showColumnStripes="0"/>
</table>
</file>

<file path=xl/tables/table16.xml><?xml version="1.0" encoding="utf-8"?>
<table xmlns="http://schemas.openxmlformats.org/spreadsheetml/2006/main" id="66" name="CITL33" displayName="CITL33" ref="F15:G20" totalsRowShown="0">
  <autoFilter ref="F15:G20">
    <filterColumn colId="0" hiddenButton="1"/>
    <filterColumn colId="1" hiddenButton="1"/>
  </autoFilter>
  <tableColumns count="2">
    <tableColumn id="1" name="Descrição" dataDxfId="56"/>
    <tableColumn id="2" name="Percentual" dataDxfId="57"/>
  </tableColumns>
  <tableStyleInfo name="TableStyleMedium14" showFirstColumn="0" showLastColumn="0" showRowStripes="1" showColumnStripes="0"/>
</table>
</file>

<file path=xl/tables/table17.xml><?xml version="1.0" encoding="utf-8"?>
<table xmlns="http://schemas.openxmlformats.org/spreadsheetml/2006/main" id="67" name="Table868" displayName="Table868" ref="A27:D29" totalsRowShown="0">
  <autoFilter ref="A27:D29">
    <filterColumn colId="0" hiddenButton="1"/>
    <filterColumn colId="1" hiddenButton="1"/>
    <filterColumn colId="2" hiddenButton="1"/>
    <filterColumn colId="3" hiddenButton="1"/>
  </autoFilter>
  <tableColumns count="4">
    <tableColumn id="1" name="Item" dataDxfId="58"/>
    <tableColumn id="2" name="Rubrica" dataDxfId="59"/>
    <tableColumn id="3" name="Base de Cálculo" dataDxfId="60"/>
    <tableColumn id="4" name="Memória de Cálculo" dataDxfId="61"/>
  </tableColumns>
  <tableStyleInfo name="TableStyleLight18" showFirstColumn="0" showLastColumn="0" showRowStripes="1" showColumnStripes="0"/>
</table>
</file>

<file path=xl/tables/table18.xml><?xml version="1.0" encoding="utf-8"?>
<table xmlns="http://schemas.openxmlformats.org/spreadsheetml/2006/main" id="68" name="Table83969" displayName="Table83969" ref="A44:D45" totalsRowShown="0">
  <autoFilter ref="A44:D45">
    <filterColumn colId="0" hiddenButton="1"/>
    <filterColumn colId="1" hiddenButton="1"/>
    <filterColumn colId="2" hiddenButton="1"/>
    <filterColumn colId="3" hiddenButton="1"/>
  </autoFilter>
  <tableColumns count="4">
    <tableColumn id="1" name="Item" dataDxfId="62"/>
    <tableColumn id="2" name="Rubrica" dataDxfId="63"/>
    <tableColumn id="3" name="Base de Cálculo" dataDxfId="64"/>
    <tableColumn id="4" name="Memória de Cálculo" dataDxfId="65"/>
  </tableColumns>
  <tableStyleInfo name="TableStyleLight18" showFirstColumn="0" showLastColumn="0" showRowStripes="1" showColumnStripes="0"/>
</table>
</file>

<file path=xl/tables/table19.xml><?xml version="1.0" encoding="utf-8"?>
<table xmlns="http://schemas.openxmlformats.org/spreadsheetml/2006/main" id="69" name="Table84270" displayName="Table84270" ref="A57:D59" totalsRowShown="0">
  <autoFilter ref="A57:D59">
    <filterColumn colId="0" hiddenButton="1"/>
    <filterColumn colId="1" hiddenButton="1"/>
    <filterColumn colId="2" hiddenButton="1"/>
    <filterColumn colId="3" hiddenButton="1"/>
  </autoFilter>
  <tableColumns count="4">
    <tableColumn id="1" name="Item" dataDxfId="66"/>
    <tableColumn id="2" name="Rubrica" dataDxfId="67"/>
    <tableColumn id="3" name="Base de Cálculo" dataDxfId="68"/>
    <tableColumn id="4" name="Memória de Cálculo" dataDxfId="69"/>
  </tableColumns>
  <tableStyleInfo name="TableStyleLight18" showFirstColumn="0" showLastColumn="0" showRowStripes="1" showColumnStripes="0"/>
</table>
</file>

<file path=xl/tables/table2.xml><?xml version="1.0" encoding="utf-8"?>
<table xmlns="http://schemas.openxmlformats.org/spreadsheetml/2006/main" id="52" name="Módulo13" displayName="Módulo13" ref="A10:D17" totalsRowCount="1">
  <autoFilter ref="A10:D16">
    <filterColumn colId="0" hiddenButton="1"/>
    <filterColumn colId="1" hiddenButton="1"/>
    <filterColumn colId="2" hiddenButton="1"/>
    <filterColumn colId="3" hiddenButton="1"/>
  </autoFilter>
  <tableColumns count="4">
    <tableColumn id="1" name="1" totalsRowLabel="Total" dataDxfId="4"/>
    <tableColumn id="2" name="Composição da Remuneração" dataDxfId="5"/>
    <tableColumn id="3" name="Comentário" dataDxfId="6"/>
    <tableColumn id="4" name="Valor" totalsRowFunction="sum" dataDxfId="7"/>
  </tableColumns>
  <tableStyleInfo name="TableStyleMedium14" showFirstColumn="0" showLastColumn="0" showRowStripes="1" showColumnStripes="0"/>
</table>
</file>

<file path=xl/tables/table20.xml><?xml version="1.0" encoding="utf-8"?>
<table xmlns="http://schemas.openxmlformats.org/spreadsheetml/2006/main" id="70" name="Table8423771" displayName="Table8423771" ref="A79:D85" totalsRowShown="0">
  <autoFilter ref="A79:D85">
    <filterColumn colId="0" hiddenButton="1"/>
    <filterColumn colId="1" hiddenButton="1"/>
    <filterColumn colId="2" hiddenButton="1"/>
    <filterColumn colId="3" hiddenButton="1"/>
  </autoFilter>
  <tableColumns count="4">
    <tableColumn id="1" name="Item" dataDxfId="70"/>
    <tableColumn id="2" name="Rubrica" dataDxfId="71"/>
    <tableColumn id="3" name="Base de Cálculo" dataDxfId="72"/>
    <tableColumn id="4" name="Memória de Cálculo" dataDxfId="73"/>
  </tableColumns>
  <tableStyleInfo name="TableStyleLight18" showFirstColumn="0" showLastColumn="0" showRowStripes="1" showColumnStripes="0"/>
</table>
</file>

<file path=xl/tables/table21.xml><?xml version="1.0" encoding="utf-8"?>
<table xmlns="http://schemas.openxmlformats.org/spreadsheetml/2006/main" id="71" name="Table8423872" displayName="Table8423872" ref="A99:D102" totalsRowShown="0">
  <autoFilter ref="A99:D102">
    <filterColumn colId="0" hiddenButton="1"/>
    <filterColumn colId="1" hiddenButton="1"/>
    <filterColumn colId="2" hiddenButton="1"/>
    <filterColumn colId="3" hiddenButton="1"/>
  </autoFilter>
  <tableColumns count="4">
    <tableColumn id="1" name="Item" dataDxfId="74"/>
    <tableColumn id="2" name="Rubrica" dataDxfId="75"/>
    <tableColumn id="3" name="Base de Cálculo" dataDxfId="76"/>
    <tableColumn id="4" name="Memória de Cálculo" dataDxfId="77"/>
  </tableColumns>
  <tableStyleInfo name="TableStyleLight18" showFirstColumn="0" showLastColumn="0" showRowStripes="1" showColumnStripes="0"/>
</table>
</file>

<file path=xl/tables/table22.xml><?xml version="1.0" encoding="utf-8"?>
<table xmlns="http://schemas.openxmlformats.org/spreadsheetml/2006/main" id="72" name="Table842385173" displayName="Table842385173" ref="A124:D128" totalsRowShown="0">
  <autoFilter ref="A124:D128">
    <filterColumn colId="0" hiddenButton="1"/>
    <filterColumn colId="1" hiddenButton="1"/>
    <filterColumn colId="2" hiddenButton="1"/>
    <filterColumn colId="3" hiddenButton="1"/>
  </autoFilter>
  <tableColumns count="4">
    <tableColumn id="1" name="Item" dataDxfId="78"/>
    <tableColumn id="2" name="Rubrica" dataDxfId="79"/>
    <tableColumn id="3" name="Base de Cálculo" dataDxfId="80"/>
    <tableColumn id="4" name="Memória de Cálculo" dataDxfId="81"/>
  </tableColumns>
  <tableStyleInfo name="TableStyleLight18" showFirstColumn="0" showLastColumn="0" showRowStripes="1" showColumnStripes="0"/>
</table>
</file>

<file path=xl/tables/table23.xml><?xml version="1.0" encoding="utf-8"?>
<table xmlns="http://schemas.openxmlformats.org/spreadsheetml/2006/main" id="76" name="Tabela6" displayName="Tabela6" ref="F23:G25" totalsRowShown="0">
  <autoFilter ref="F23:G25">
    <filterColumn colId="0" hiddenButton="1"/>
    <filterColumn colId="1" hiddenButton="1"/>
  </autoFilter>
  <tableColumns count="2">
    <tableColumn id="1" name="Descrição" dataDxfId="82"/>
    <tableColumn id="2" name="Valor" dataDxfId="83"/>
  </tableColumns>
  <tableStyleInfo name="TableStyleMedium14" showFirstColumn="0" showLastColumn="0" showRowStripes="1" showColumnStripes="0"/>
</table>
</file>

<file path=xl/tables/table24.xml><?xml version="1.0" encoding="utf-8"?>
<table xmlns="http://schemas.openxmlformats.org/spreadsheetml/2006/main" id="77" name="Table425278" displayName="Table425278" ref="A2:D7" totalsRowShown="0">
  <tableColumns count="4">
    <tableColumn id="1" name="Item" dataDxfId="84"/>
    <tableColumn id="2" name="Descrição" dataDxfId="85"/>
    <tableColumn id="3" name="Comentário" dataDxfId="86"/>
    <tableColumn id="4" name="Valor" dataDxfId="87"/>
  </tableColumns>
  <tableStyleInfo name="TableStyleMedium14" showFirstColumn="0" showLastColumn="0" showRowStripes="1" showColumnStripes="0"/>
</table>
</file>

<file path=xl/tables/table25.xml><?xml version="1.0" encoding="utf-8"?>
<table xmlns="http://schemas.openxmlformats.org/spreadsheetml/2006/main" id="78" name="Módulo1379" displayName="Módulo1379" ref="A10:D17" totalsRowCount="1">
  <autoFilter ref="A10:D16">
    <filterColumn colId="0" hiddenButton="1"/>
    <filterColumn colId="1" hiddenButton="1"/>
    <filterColumn colId="2" hiddenButton="1"/>
    <filterColumn colId="3" hiddenButton="1"/>
  </autoFilter>
  <tableColumns count="4">
    <tableColumn id="1" name="1" totalsRowLabel="Total" dataDxfId="88"/>
    <tableColumn id="2" name="Composição da Remuneração" dataDxfId="89"/>
    <tableColumn id="3" name="Comentário" dataDxfId="90"/>
    <tableColumn id="4" name="Valor" totalsRowFunction="sum" dataDxfId="91"/>
  </tableColumns>
  <tableStyleInfo name="TableStyleMedium14" showFirstColumn="0" showLastColumn="0" showRowStripes="1" showColumnStripes="0"/>
</table>
</file>

<file path=xl/tables/table26.xml><?xml version="1.0" encoding="utf-8"?>
<table xmlns="http://schemas.openxmlformats.org/spreadsheetml/2006/main" id="79" name="Submódulo2.1480" displayName="Submódulo2.1480" ref="A21:D24" totalsRowCount="1">
  <autoFilter ref="A21:D23">
    <filterColumn colId="0" hiddenButton="1"/>
    <filterColumn colId="1" hiddenButton="1"/>
    <filterColumn colId="2" hiddenButton="1"/>
    <filterColumn colId="3" hiddenButton="1"/>
  </autoFilter>
  <tableColumns count="4">
    <tableColumn id="1" name="2.1" totalsRowLabel="Total" dataDxfId="92"/>
    <tableColumn id="2" name="13º (décimo terceiro) Salário e Adicional de Férias" dataDxfId="93"/>
    <tableColumn id="3" name="Comentário" dataDxfId="94"/>
    <tableColumn id="4" name="Valor" totalsRowFunction="sum" dataDxfId="95"/>
  </tableColumns>
  <tableStyleInfo name="TableStyleMedium14" showFirstColumn="0" showLastColumn="0" showRowStripes="1" showColumnStripes="0"/>
</table>
</file>

<file path=xl/tables/table27.xml><?xml version="1.0" encoding="utf-8"?>
<table xmlns="http://schemas.openxmlformats.org/spreadsheetml/2006/main" id="80" name="Submódulo2.2681" displayName="Submódulo2.2681" ref="A32:D41" totalsRowCount="1">
  <autoFilter ref="A32:D40">
    <filterColumn colId="0" hiddenButton="1"/>
    <filterColumn colId="1" hiddenButton="1"/>
    <filterColumn colId="2" hiddenButton="1"/>
    <filterColumn colId="3" hiddenButton="1"/>
  </autoFilter>
  <tableColumns count="4">
    <tableColumn id="1" name="2.2" totalsRowLabel="Total" dataDxfId="96"/>
    <tableColumn id="2" name="GPS, FGTS e outras contribuições" dataDxfId="97"/>
    <tableColumn id="3" name="Percentual" totalsRowFunction="sum" dataDxfId="98"/>
    <tableColumn id="4" name="Valor " totalsRowFunction="sum" dataDxfId="99"/>
  </tableColumns>
  <tableStyleInfo name="TableStyleMedium14" showFirstColumn="0" showLastColumn="0" showRowStripes="1" showColumnStripes="0"/>
</table>
</file>

<file path=xl/tables/table28.xml><?xml version="1.0" encoding="utf-8"?>
<table xmlns="http://schemas.openxmlformats.org/spreadsheetml/2006/main" id="81" name="Submódulo2.3882" displayName="Submódulo2.3882" ref="A48:D54" totalsRowCount="1">
  <autoFilter ref="A48:D53">
    <filterColumn colId="0" hiddenButton="1"/>
    <filterColumn colId="1" hiddenButton="1"/>
    <filterColumn colId="2" hiddenButton="1"/>
    <filterColumn colId="3" hiddenButton="1"/>
  </autoFilter>
  <tableColumns count="4">
    <tableColumn id="1" name="2.3" totalsRowLabel="Total" dataDxfId="100"/>
    <tableColumn id="2" name="Benefícios Mensais e Diários" dataDxfId="101"/>
    <tableColumn id="3" name="Comentário" dataDxfId="102"/>
    <tableColumn id="4" name="Valor" totalsRowFunction="sum" dataDxfId="103"/>
  </tableColumns>
  <tableStyleInfo name="TableStyleMedium14" showFirstColumn="0" showLastColumn="0" showRowStripes="1" showColumnStripes="0"/>
</table>
</file>

<file path=xl/tables/table29.xml><?xml version="1.0" encoding="utf-8"?>
<table xmlns="http://schemas.openxmlformats.org/spreadsheetml/2006/main" id="82" name="ResumoMódulo2983" displayName="ResumoMódulo2983" ref="A62:D66" totalsRowCount="1">
  <autoFilter ref="A62:D65">
    <filterColumn colId="0" hiddenButton="1"/>
    <filterColumn colId="1" hiddenButton="1"/>
    <filterColumn colId="2" hiddenButton="1"/>
    <filterColumn colId="3" hiddenButton="1"/>
  </autoFilter>
  <tableColumns count="4">
    <tableColumn id="1" name="2" totalsRowLabel="Total" dataDxfId="104"/>
    <tableColumn id="2" name="Encargos e Benefícios Anuais, Mensais e Diários" dataDxfId="105"/>
    <tableColumn id="3" name="Comentário" dataDxfId="106"/>
    <tableColumn id="4" name="Valor" totalsRowFunction="sum" dataDxfId="107"/>
  </tableColumns>
  <tableStyleInfo name="TableStyleMedium14" showFirstColumn="0" showLastColumn="0" showRowStripes="1" showColumnStripes="0"/>
</table>
</file>

<file path=xl/tables/table3.xml><?xml version="1.0" encoding="utf-8"?>
<table xmlns="http://schemas.openxmlformats.org/spreadsheetml/2006/main" id="53" name="Submódulo2.14" displayName="Submódulo2.14" ref="A21:D24" totalsRowCount="1">
  <autoFilter ref="A21:D23">
    <filterColumn colId="0" hiddenButton="1"/>
    <filterColumn colId="1" hiddenButton="1"/>
    <filterColumn colId="2" hiddenButton="1"/>
    <filterColumn colId="3" hiddenButton="1"/>
  </autoFilter>
  <tableColumns count="4">
    <tableColumn id="1" name="2.1" totalsRowLabel="Total" dataDxfId="8"/>
    <tableColumn id="2" name="13º (décimo terceiro) Salário e Adicional de Férias" dataDxfId="9"/>
    <tableColumn id="3" name="Comentário" dataDxfId="10"/>
    <tableColumn id="4" name="Valor" totalsRowFunction="sum" dataDxfId="11"/>
  </tableColumns>
  <tableStyleInfo name="TableStyleMedium14" showFirstColumn="0" showLastColumn="0" showRowStripes="1" showColumnStripes="0"/>
</table>
</file>

<file path=xl/tables/table30.xml><?xml version="1.0" encoding="utf-8"?>
<table xmlns="http://schemas.openxmlformats.org/spreadsheetml/2006/main" id="83" name="Módulo32484" displayName="Módulo32484" ref="A69:D76" totalsRowCount="1">
  <autoFilter ref="A69:D75">
    <filterColumn colId="0" hiddenButton="1"/>
    <filterColumn colId="1" hiddenButton="1"/>
    <filterColumn colId="2" hiddenButton="1"/>
    <filterColumn colId="3" hiddenButton="1"/>
  </autoFilter>
  <tableColumns count="4">
    <tableColumn id="1" name="3" totalsRowLabel="Total" dataDxfId="108"/>
    <tableColumn id="2" name="Provisão para Rescisão" dataDxfId="109"/>
    <tableColumn id="3" name="Comentário" dataDxfId="110"/>
    <tableColumn id="4" name="Valor" totalsRowFunction="sum" dataDxfId="111"/>
  </tableColumns>
  <tableStyleInfo name="TableStyleMedium14" showFirstColumn="0" showLastColumn="0" showRowStripes="1" showColumnStripes="0"/>
</table>
</file>

<file path=xl/tables/table31.xml><?xml version="1.0" encoding="utf-8"?>
<table xmlns="http://schemas.openxmlformats.org/spreadsheetml/2006/main" id="84" name="Submódulo4.12585" displayName="Submódulo4.12585" ref="A89:D96" totalsRowCount="1">
  <autoFilter ref="A89:D95">
    <filterColumn colId="0" hiddenButton="1"/>
    <filterColumn colId="1" hiddenButton="1"/>
    <filterColumn colId="2" hiddenButton="1"/>
    <filterColumn colId="3" hiddenButton="1"/>
  </autoFilter>
  <tableColumns count="4">
    <tableColumn id="1" name="4.1" totalsRowLabel="Total" dataDxfId="112"/>
    <tableColumn id="2" name="Substituto nas Ausências Legais" dataDxfId="113"/>
    <tableColumn id="3" name="Dias de ausência" totalsRowFunction="sum" dataDxfId="114"/>
    <tableColumn id="4" name="Valor" totalsRowFunction="sum" dataDxfId="115"/>
  </tableColumns>
  <tableStyleInfo name="TableStyleMedium14" showFirstColumn="0" showLastColumn="0" showRowStripes="1" showColumnStripes="0"/>
</table>
</file>

<file path=xl/tables/table32.xml><?xml version="1.0" encoding="utf-8"?>
<table xmlns="http://schemas.openxmlformats.org/spreadsheetml/2006/main" id="85" name="Submódulo4.22686" displayName="Submódulo4.22686" ref="A105:D107" totalsRowCount="1">
  <autoFilter ref="A105:D106">
    <filterColumn colId="0" hiddenButton="1"/>
    <filterColumn colId="1" hiddenButton="1"/>
    <filterColumn colId="2" hiddenButton="1"/>
    <filterColumn colId="3" hiddenButton="1"/>
  </autoFilter>
  <tableColumns count="4">
    <tableColumn id="1" name="4.2" totalsRowLabel="Total" dataDxfId="116"/>
    <tableColumn id="2" name="Substituto na Intrajornada " dataDxfId="117"/>
    <tableColumn id="3" name="Comentário" dataDxfId="118"/>
    <tableColumn id="4" name="Valor" totalsRowFunction="sum" dataDxfId="119"/>
  </tableColumns>
  <tableStyleInfo name="TableStyleMedium14" showFirstColumn="0" showLastColumn="0" showRowStripes="1" showColumnStripes="0"/>
</table>
</file>

<file path=xl/tables/table33.xml><?xml version="1.0" encoding="utf-8"?>
<table xmlns="http://schemas.openxmlformats.org/spreadsheetml/2006/main" id="86" name="ResumoMódulo42787" displayName="ResumoMódulo42787" ref="A110:D113" totalsRowCount="1">
  <autoFilter ref="A110:D112">
    <filterColumn colId="0" hiddenButton="1"/>
    <filterColumn colId="1" hiddenButton="1"/>
    <filterColumn colId="2" hiddenButton="1"/>
    <filterColumn colId="3" hiddenButton="1"/>
  </autoFilter>
  <tableColumns count="4">
    <tableColumn id="1" name="4" totalsRowLabel="Total" dataDxfId="120"/>
    <tableColumn id="2" name="Custo de Reposição do Profissional Ausente" dataDxfId="121"/>
    <tableColumn id="3" name="Comentário" dataDxfId="122"/>
    <tableColumn id="4" name="Valor" totalsRowFunction="sum" dataDxfId="123"/>
  </tableColumns>
  <tableStyleInfo name="TableStyleMedium14" showFirstColumn="0" showLastColumn="0" showRowStripes="1" showColumnStripes="0"/>
</table>
</file>

<file path=xl/tables/table34.xml><?xml version="1.0" encoding="utf-8"?>
<table xmlns="http://schemas.openxmlformats.org/spreadsheetml/2006/main" id="87" name="Módulo52888" displayName="Módulo52888" ref="A116:D121" totalsRowCount="1">
  <autoFilter ref="A116:D120">
    <filterColumn colId="0" hiddenButton="1"/>
    <filterColumn colId="1" hiddenButton="1"/>
    <filterColumn colId="2" hiddenButton="1"/>
    <filterColumn colId="3" hiddenButton="1"/>
  </autoFilter>
  <tableColumns count="4">
    <tableColumn id="1" name="5" totalsRowLabel="Total" dataDxfId="124"/>
    <tableColumn id="2" name="Insumos Diversos" dataDxfId="125"/>
    <tableColumn id="3" name="Comentário" dataDxfId="126"/>
    <tableColumn id="4" name="Valor" totalsRowFunction="sum" dataDxfId="127"/>
  </tableColumns>
  <tableStyleInfo name="TableStyleMedium14" showFirstColumn="0" showLastColumn="0" showRowStripes="1" showColumnStripes="0"/>
</table>
</file>

<file path=xl/tables/table35.xml><?xml version="1.0" encoding="utf-8"?>
<table xmlns="http://schemas.openxmlformats.org/spreadsheetml/2006/main" id="88" name="Módulo62989" displayName="Módulo62989" ref="A131:D138" totalsRowCount="1">
  <tableColumns count="4">
    <tableColumn id="1" name="6" totalsRowLabel="Total" dataDxfId="128"/>
    <tableColumn id="2" name="Custos Indiretos, Tributos e Lucro" dataDxfId="129"/>
    <tableColumn id="3" name="Percentual" dataDxfId="130"/>
    <tableColumn id="4" name="Valor" totalsRowFunction="custom">
      <totalsRowFormula>SUM(D132:D134)</totalsRowFormula>
       dataDxfId="131"
    </tableColumn>
  </tableColumns>
  <tableStyleInfo name="TableStyleMedium14" showFirstColumn="0" showLastColumn="0" showRowStripes="1" showColumnStripes="0"/>
</table>
</file>

<file path=xl/tables/table36.xml><?xml version="1.0" encoding="utf-8"?>
<table xmlns="http://schemas.openxmlformats.org/spreadsheetml/2006/main" id="89" name="ResumoPosto3090" displayName="ResumoPosto3090" ref="A142:D150">
  <autoFilter ref="A142:D150">
    <filterColumn colId="0" hiddenButton="1"/>
    <filterColumn colId="1" hiddenButton="1"/>
    <filterColumn colId="2" hiddenButton="1"/>
    <filterColumn colId="3" hiddenButton="1"/>
  </autoFilter>
  <tableColumns count="4">
    <tableColumn id="1" name="Item" totalsRowLabel="Total" dataDxfId="132"/>
    <tableColumn id="2" name="Mão de obra vinculada à execução contratual" dataDxfId="133"/>
    <tableColumn id="3" name="-" dataDxfId="134"/>
    <tableColumn id="4" name="Valor" totalsRowFunction="sum" dataDxfId="135"/>
  </tableColumns>
  <tableStyleInfo name="TableStyleMedium14" showFirstColumn="0" showLastColumn="0" showRowStripes="1" showColumnStripes="0"/>
</table>
</file>

<file path=xl/tables/table37.xml><?xml version="1.0" encoding="utf-8"?>
<table xmlns="http://schemas.openxmlformats.org/spreadsheetml/2006/main" id="90" name="DadosGerais3191" displayName="DadosGerais3191" ref="F2:G6" totalsRowShown="0">
  <autoFilter ref="F2:G6">
    <filterColumn colId="0" hiddenButton="1"/>
    <filterColumn colId="1" hiddenButton="1"/>
  </autoFilter>
  <tableColumns count="2">
    <tableColumn id="1" name="Descrição" dataDxfId="136"/>
    <tableColumn id="2" name="Valor" dataDxfId="137"/>
  </tableColumns>
  <tableStyleInfo name="TableStyleMedium14" showFirstColumn="0" showLastColumn="0" showRowStripes="1" showColumnStripes="0"/>
</table>
</file>

<file path=xl/tables/table38.xml><?xml version="1.0" encoding="utf-8"?>
<table xmlns="http://schemas.openxmlformats.org/spreadsheetml/2006/main" id="91" name="DadosDesligamento3292" displayName="DadosDesligamento3292" ref="F9:G12" totalsRowShown="0">
  <autoFilter ref="F9:G12">
    <filterColumn colId="0" hiddenButton="1"/>
    <filterColumn colId="1" hiddenButton="1"/>
  </autoFilter>
  <tableColumns count="2">
    <tableColumn id="1" name="Tipos" dataDxfId="138"/>
    <tableColumn id="2" name="Percentual" dataDxfId="139"/>
  </tableColumns>
  <tableStyleInfo name="TableStyleMedium14" showFirstColumn="0" showLastColumn="0" showRowStripes="1" showColumnStripes="0"/>
</table>
</file>

<file path=xl/tables/table39.xml><?xml version="1.0" encoding="utf-8"?>
<table xmlns="http://schemas.openxmlformats.org/spreadsheetml/2006/main" id="92" name="CITL3393" displayName="CITL3393" ref="F15:G20" totalsRowShown="0">
  <autoFilter ref="F15:G20">
    <filterColumn colId="0" hiddenButton="1"/>
    <filterColumn colId="1" hiddenButton="1"/>
  </autoFilter>
  <tableColumns count="2">
    <tableColumn id="1" name="Descrição" dataDxfId="140"/>
    <tableColumn id="2" name="Percentual" dataDxfId="141"/>
  </tableColumns>
  <tableStyleInfo name="TableStyleMedium14" showFirstColumn="0" showLastColumn="0" showRowStripes="1" showColumnStripes="0"/>
</table>
</file>

<file path=xl/tables/table4.xml><?xml version="1.0" encoding="utf-8"?>
<table xmlns="http://schemas.openxmlformats.org/spreadsheetml/2006/main" id="54" name="Submódulo2.26" displayName="Submódulo2.26" ref="A32:D41" totalsRowCount="1">
  <autoFilter ref="A32:D40">
    <filterColumn colId="0" hiddenButton="1"/>
    <filterColumn colId="1" hiddenButton="1"/>
    <filterColumn colId="2" hiddenButton="1"/>
    <filterColumn colId="3" hiddenButton="1"/>
  </autoFilter>
  <tableColumns count="4">
    <tableColumn id="1" name="2.2" totalsRowLabel="Total" dataDxfId="12"/>
    <tableColumn id="2" name="GPS, FGTS e outras contribuições" dataDxfId="13"/>
    <tableColumn id="3" name="Percentual" totalsRowFunction="sum" dataDxfId="14"/>
    <tableColumn id="4" name="Valor " totalsRowFunction="sum" dataDxfId="15"/>
  </tableColumns>
  <tableStyleInfo name="TableStyleMedium14" showFirstColumn="0" showLastColumn="0" showRowStripes="1" showColumnStripes="0"/>
</table>
</file>

<file path=xl/tables/table40.xml><?xml version="1.0" encoding="utf-8"?>
<table xmlns="http://schemas.openxmlformats.org/spreadsheetml/2006/main" id="93" name="Table86894" displayName="Table86894" ref="A27:D29" totalsRowShown="0">
  <autoFilter ref="A27:D29">
    <filterColumn colId="0" hiddenButton="1"/>
    <filterColumn colId="1" hiddenButton="1"/>
    <filterColumn colId="2" hiddenButton="1"/>
    <filterColumn colId="3" hiddenButton="1"/>
  </autoFilter>
  <tableColumns count="4">
    <tableColumn id="1" name="Item" dataDxfId="142"/>
    <tableColumn id="2" name="Rubrica" dataDxfId="143"/>
    <tableColumn id="3" name="Base de Cálculo" dataDxfId="144"/>
    <tableColumn id="4" name="Memória de Cálculo" dataDxfId="145"/>
  </tableColumns>
  <tableStyleInfo name="TableStyleLight18" showFirstColumn="0" showLastColumn="0" showRowStripes="1" showColumnStripes="0"/>
</table>
</file>

<file path=xl/tables/table41.xml><?xml version="1.0" encoding="utf-8"?>
<table xmlns="http://schemas.openxmlformats.org/spreadsheetml/2006/main" id="94" name="Table8396995" displayName="Table8396995" ref="A44:D45" totalsRowShown="0">
  <autoFilter ref="A44:D45">
    <filterColumn colId="0" hiddenButton="1"/>
    <filterColumn colId="1" hiddenButton="1"/>
    <filterColumn colId="2" hiddenButton="1"/>
    <filterColumn colId="3" hiddenButton="1"/>
  </autoFilter>
  <tableColumns count="4">
    <tableColumn id="1" name="Item" dataDxfId="146"/>
    <tableColumn id="2" name="Rubrica" dataDxfId="147"/>
    <tableColumn id="3" name="Base de Cálculo" dataDxfId="148"/>
    <tableColumn id="4" name="Memória de Cálculo" dataDxfId="149"/>
  </tableColumns>
  <tableStyleInfo name="TableStyleLight18" showFirstColumn="0" showLastColumn="0" showRowStripes="1" showColumnStripes="0"/>
</table>
</file>

<file path=xl/tables/table42.xml><?xml version="1.0" encoding="utf-8"?>
<table xmlns="http://schemas.openxmlformats.org/spreadsheetml/2006/main" id="95" name="Table8427096" displayName="Table8427096" ref="A57:D59" totalsRowShown="0">
  <autoFilter ref="A57:D59">
    <filterColumn colId="0" hiddenButton="1"/>
    <filterColumn colId="1" hiddenButton="1"/>
    <filterColumn colId="2" hiddenButton="1"/>
    <filterColumn colId="3" hiddenButton="1"/>
  </autoFilter>
  <tableColumns count="4">
    <tableColumn id="1" name="Item" dataDxfId="150"/>
    <tableColumn id="2" name="Rubrica" dataDxfId="151"/>
    <tableColumn id="3" name="Base de Cálculo" dataDxfId="152"/>
    <tableColumn id="4" name="Memória de Cálculo" dataDxfId="153"/>
  </tableColumns>
  <tableStyleInfo name="TableStyleLight18" showFirstColumn="0" showLastColumn="0" showRowStripes="1" showColumnStripes="0"/>
</table>
</file>

<file path=xl/tables/table43.xml><?xml version="1.0" encoding="utf-8"?>
<table xmlns="http://schemas.openxmlformats.org/spreadsheetml/2006/main" id="96" name="Table842377197" displayName="Table842377197" ref="A79:D85" totalsRowShown="0">
  <autoFilter ref="A79:D85">
    <filterColumn colId="0" hiddenButton="1"/>
    <filterColumn colId="1" hiddenButton="1"/>
    <filterColumn colId="2" hiddenButton="1"/>
    <filterColumn colId="3" hiddenButton="1"/>
  </autoFilter>
  <tableColumns count="4">
    <tableColumn id="1" name="Item" dataDxfId="154"/>
    <tableColumn id="2" name="Rubrica" dataDxfId="155"/>
    <tableColumn id="3" name="Base de Cálculo" dataDxfId="156"/>
    <tableColumn id="4" name="Memória de Cálculo" dataDxfId="157"/>
  </tableColumns>
  <tableStyleInfo name="TableStyleLight18" showFirstColumn="0" showLastColumn="0" showRowStripes="1" showColumnStripes="0"/>
</table>
</file>

<file path=xl/tables/table44.xml><?xml version="1.0" encoding="utf-8"?>
<table xmlns="http://schemas.openxmlformats.org/spreadsheetml/2006/main" id="97" name="Table842387298" displayName="Table842387298" ref="A99:D102" totalsRowShown="0">
  <autoFilter ref="A99:D102">
    <filterColumn colId="0" hiddenButton="1"/>
    <filterColumn colId="1" hiddenButton="1"/>
    <filterColumn colId="2" hiddenButton="1"/>
    <filterColumn colId="3" hiddenButton="1"/>
  </autoFilter>
  <tableColumns count="4">
    <tableColumn id="1" name="Item" dataDxfId="158"/>
    <tableColumn id="2" name="Rubrica" dataDxfId="159"/>
    <tableColumn id="3" name="Base de Cálculo" dataDxfId="160"/>
    <tableColumn id="4" name="Memória de Cálculo" dataDxfId="161"/>
  </tableColumns>
  <tableStyleInfo name="TableStyleLight18" showFirstColumn="0" showLastColumn="0" showRowStripes="1" showColumnStripes="0"/>
</table>
</file>

<file path=xl/tables/table45.xml><?xml version="1.0" encoding="utf-8"?>
<table xmlns="http://schemas.openxmlformats.org/spreadsheetml/2006/main" id="98" name="Table84238517399" displayName="Table84238517399" ref="A124:D128" totalsRowShown="0">
  <autoFilter ref="A124:D128">
    <filterColumn colId="0" hiddenButton="1"/>
    <filterColumn colId="1" hiddenButton="1"/>
    <filterColumn colId="2" hiddenButton="1"/>
    <filterColumn colId="3" hiddenButton="1"/>
  </autoFilter>
  <tableColumns count="4">
    <tableColumn id="1" name="Item" dataDxfId="162"/>
    <tableColumn id="2" name="Rubrica" dataDxfId="163"/>
    <tableColumn id="3" name="Base de Cálculo" dataDxfId="164"/>
    <tableColumn id="4" name="Memória de Cálculo" dataDxfId="165"/>
  </tableColumns>
  <tableStyleInfo name="TableStyleLight18" showFirstColumn="0" showLastColumn="0" showRowStripes="1" showColumnStripes="0"/>
</table>
</file>

<file path=xl/tables/table46.xml><?xml version="1.0" encoding="utf-8"?>
<table xmlns="http://schemas.openxmlformats.org/spreadsheetml/2006/main" id="99" name="Tabela6100" displayName="Tabela6100" ref="F23:G25" totalsRowShown="0">
  <autoFilter ref="F23:G25">
    <filterColumn colId="0" hiddenButton="1"/>
    <filterColumn colId="1" hiddenButton="1"/>
  </autoFilter>
  <tableColumns count="2">
    <tableColumn id="1" name="Descrição" dataDxfId="166"/>
    <tableColumn id="2" name="Valor" dataDxfId="167"/>
  </tableColumns>
  <tableStyleInfo name="TableStyleMedium14" showFirstColumn="0" showLastColumn="0" showRowStripes="1" showColumnStripes="0"/>
</table>
</file>

<file path=xl/tables/table47.xml><?xml version="1.0" encoding="utf-8"?>
<table xmlns="http://schemas.openxmlformats.org/spreadsheetml/2006/main" id="153" name="Submódulo2.388_76137142154" displayName="Submódulo2.388_76137142154" ref="A43:D49" totalsRowCount="1">
  <autoFilter ref="A43:D48"/>
  <tableColumns count="4">
    <tableColumn id="1" name="2.3" totalsRowLabel="Total" dataDxfId="168"/>
    <tableColumn id="2" name="Benefícios Mensais e Diários" dataDxfId="169"/>
    <tableColumn id="3" name="Comentário" dataDxfId="170"/>
    <tableColumn id="4" name="Valor" totalsRowFunction="custom">
      <totalsRowFormula>TRUNC(SUM(D44:D48),2)</totalsRowFormula>
       dataDxfId="171"
    </tableColumn>
  </tableColumns>
  <tableStyleInfo name="TableStyleMedium14" showFirstColumn="0" showLastColumn="0" showRowStripes="1" showColumnStripes="0"/>
</table>
</file>

<file path=xl/tables/table48.xml><?xml version="1.0" encoding="utf-8"?>
<table xmlns="http://schemas.openxmlformats.org/spreadsheetml/2006/main" id="154" name="Módulo32410_102139140155" displayName="Módulo32410_102139140155" ref="A59:D66" totalsRowCount="1">
  <autoFilter ref="A59:D65"/>
  <tableColumns count="4">
    <tableColumn id="1" name="3" totalsRowLabel="Total" dataDxfId="172"/>
    <tableColumn id="2" name="Provisão para Rescisão" dataDxfId="173"/>
    <tableColumn id="3" name="Comentário" dataDxfId="174"/>
    <tableColumn id="4" name="Valor" totalsRowFunction="custom">
      <totalsRowFormula>TRUNC(SUM(D60:D65),2)</totalsRowFormula>
       dataDxfId="175"
    </tableColumn>
  </tableColumns>
  <tableStyleInfo name="TableStyleMedium14" showFirstColumn="0" showLastColumn="0" showRowStripes="1" showColumnStripes="0"/>
</table>
</file>

<file path=xl/tables/table49.xml><?xml version="1.0" encoding="utf-8"?>
<table xmlns="http://schemas.openxmlformats.org/spreadsheetml/2006/main" id="155" name="ResumoMódulo299_101138141156" displayName="ResumoMódulo299_101138141156" ref="A52:D56" totalsRowCount="1">
  <autoFilter ref="A52:D55"/>
  <tableColumns count="4">
    <tableColumn id="1" name="2" totalsRowLabel="Total" dataDxfId="176"/>
    <tableColumn id="2" name="Encargos e Benefícios Anuais, Mensais e Diários" dataDxfId="177"/>
    <tableColumn id="3" name="Comentário" dataDxfId="178"/>
    <tableColumn id="4" name="Valor" totalsRowFunction="custom">
      <totalsRowFormula>TRUNC(SUM(D53:D55),2)</totalsRowFormula>
       dataDxfId="179"
    </tableColumn>
  </tableColumns>
  <tableStyleInfo name="TableStyleMedium14" showFirstColumn="0" showLastColumn="0" showRowStripes="1" showColumnStripes="0"/>
</table>
</file>

<file path=xl/tables/table5.xml><?xml version="1.0" encoding="utf-8"?>
<table xmlns="http://schemas.openxmlformats.org/spreadsheetml/2006/main" id="55" name="Submódulo2.38" displayName="Submódulo2.38" ref="A48:D54" totalsRowCount="1">
  <autoFilter ref="A48:D53">
    <filterColumn colId="0" hiddenButton="1"/>
    <filterColumn colId="1" hiddenButton="1"/>
    <filterColumn colId="2" hiddenButton="1"/>
    <filterColumn colId="3" hiddenButton="1"/>
  </autoFilter>
  <tableColumns count="4">
    <tableColumn id="1" name="2.3" totalsRowLabel="Total" dataDxfId="16"/>
    <tableColumn id="2" name="Benefícios Mensais e Diários" dataDxfId="17"/>
    <tableColumn id="3" name="Comentário" dataDxfId="18"/>
    <tableColumn id="4" name="Valor" totalsRowFunction="sum" dataDxfId="19"/>
  </tableColumns>
  <tableStyleInfo name="TableStyleMedium14" showFirstColumn="0" showLastColumn="0" showRowStripes="1" showColumnStripes="0"/>
</table>
</file>

<file path=xl/tables/table50.xml><?xml version="1.0" encoding="utf-8"?>
<table xmlns="http://schemas.openxmlformats.org/spreadsheetml/2006/main" id="156" name="Table42522_50133145157" displayName="Table42522_50133145157" ref="A2:D7" totalsRowShown="0">
  <tableColumns count="4">
    <tableColumn id="1" name="Item" dataDxfId="180"/>
    <tableColumn id="2" name="Descrição" dataDxfId="181"/>
    <tableColumn id="3" name="Comentário" dataDxfId="182"/>
    <tableColumn id="4" name="Valor" dataDxfId="183"/>
  </tableColumns>
  <tableStyleInfo name="TableStyleMedium14" showFirstColumn="0" showLastColumn="0" showRowStripes="1" showColumnStripes="0"/>
</table>
</file>

<file path=xl/tables/table51.xml><?xml version="1.0" encoding="utf-8"?>
<table xmlns="http://schemas.openxmlformats.org/spreadsheetml/2006/main" id="157" name="Submódulo4.22612_31129147158" displayName="Submódulo4.22612_31129147158" ref="A85:D87" totalsRowCount="1">
  <autoFilter ref="A85:D86"/>
  <tableColumns count="4">
    <tableColumn id="1" name="4.2" totalsRowLabel="Total" dataDxfId="184"/>
    <tableColumn id="2" name="Substituto na Intrajornada " dataDxfId="185"/>
    <tableColumn id="3" name="Comentário" dataDxfId="186"/>
    <tableColumn id="4" name="Valor" totalsRowFunction="sum" dataDxfId="187"/>
  </tableColumns>
  <tableStyleInfo name="TableStyleMedium14" showFirstColumn="0" showLastColumn="0" showRowStripes="1" showColumnStripes="0"/>
</table>
</file>

<file path=xl/tables/table52.xml><?xml version="1.0" encoding="utf-8"?>
<table xmlns="http://schemas.openxmlformats.org/spreadsheetml/2006/main" id="158" name="Submódulo4.12511_4132144159" displayName="Submódulo4.12511_4132144159" ref="A75:D82" totalsRowCount="1">
  <autoFilter ref="A75:D81"/>
  <tableColumns count="4">
    <tableColumn id="1" name="4.1" totalsRowLabel="Total" dataDxfId="188"/>
    <tableColumn id="2" name="Substituto nas Ausências Legais" dataDxfId="189"/>
    <tableColumn id="3" name="Dias de ausência" totalsRowFunction="sum" dataDxfId="190"/>
    <tableColumn id="4" name="Valor" totalsRowFunction="custom">
      <totalsRowFormula>TRUNC(SUM(D76:D81),2)</totalsRowFormula>
       dataDxfId="191"
    </tableColumn>
  </tableColumns>
  <tableStyleInfo name="TableStyleMedium14" showFirstColumn="0" showLastColumn="0" showRowStripes="1" showColumnStripes="0"/>
</table>
</file>

<file path=xl/tables/table53.xml><?xml version="1.0" encoding="utf-8"?>
<table xmlns="http://schemas.openxmlformats.org/spreadsheetml/2006/main" id="159" name="Submódulo2.146_74135143160" displayName="Submódulo2.146_74135143160" ref="A21:D24" totalsRowCount="1">
  <autoFilter ref="A21:D23"/>
  <tableColumns count="4">
    <tableColumn id="1" name="2.1" totalsRowLabel="Total" dataDxfId="192"/>
    <tableColumn id="2" name="13º (décimo terceiro) Salário e Adicional de Férias" dataDxfId="193"/>
    <tableColumn id="3" name="Comentário" dataDxfId="194"/>
    <tableColumn id="4" name="Valor" totalsRowFunction="custom">
      <totalsRowFormula>TRUNC(SUM(D22:D23),2)</totalsRowFormula>
       dataDxfId="195"
    </tableColumn>
  </tableColumns>
  <tableStyleInfo name="TableStyleMedium14" showFirstColumn="0" showLastColumn="0" showRowStripes="1" showColumnStripes="0"/>
</table>
</file>

<file path=xl/tables/table54.xml><?xml version="1.0" encoding="utf-8"?>
<table xmlns="http://schemas.openxmlformats.org/spreadsheetml/2006/main" id="160" name="Módulo135_51134146161" displayName="Módulo135_51134146161" ref="A10:D17" totalsRowCount="1">
  <autoFilter ref="A10:D16"/>
  <tableColumns count="4">
    <tableColumn id="1" name="1" totalsRowLabel="Total" dataDxfId="196"/>
    <tableColumn id="2" name="Composição da Remuneração" dataDxfId="197"/>
    <tableColumn id="3" name="Comentário" dataDxfId="198"/>
    <tableColumn id="4" name="Valor" totalsRowFunction="custom">
      <totalsRowFormula>TRUNC(SUM(D11:D16),2)</totalsRowFormula>
       dataDxfId="199"
    </tableColumn>
  </tableColumns>
  <tableStyleInfo name="TableStyleMedium14" showFirstColumn="0" showLastColumn="0" showRowStripes="1" showColumnStripes="0"/>
</table>
</file>

<file path=xl/tables/table55.xml><?xml version="1.0" encoding="utf-8"?>
<table xmlns="http://schemas.openxmlformats.org/spreadsheetml/2006/main" id="161" name="ResumoMódulo42713_30130148162" displayName="ResumoMódulo42713_30130148162" ref="A90:D93" totalsRowCount="1">
  <autoFilter ref="A90:D92"/>
  <tableColumns count="4">
    <tableColumn id="1" name="4" totalsRowLabel="Total" dataDxfId="200"/>
    <tableColumn id="2" name="Custo de Reposição do Profissional Ausente" dataDxfId="201"/>
    <tableColumn id="3" name="Comentário" dataDxfId="202"/>
    <tableColumn id="4" name="Valor" totalsRowFunction="custom">
      <totalsRowFormula>TRUNC(SUM(D91:D92),2)</totalsRowFormula>
       dataDxfId="203"
    </tableColumn>
  </tableColumns>
  <tableStyleInfo name="TableStyleMedium14" showFirstColumn="0" showLastColumn="0" showRowStripes="1" showColumnStripes="0"/>
</table>
</file>

<file path=xl/tables/table56.xml><?xml version="1.0" encoding="utf-8"?>
<table xmlns="http://schemas.openxmlformats.org/spreadsheetml/2006/main" id="162" name="Submódulo2.267_75136149163" displayName="Submódulo2.267_75136149163" ref="A31:D40" totalsRowCount="1">
  <autoFilter ref="A31:D39"/>
  <tableColumns count="4">
    <tableColumn id="1" name="2.2" totalsRowLabel="Total" dataDxfId="204"/>
    <tableColumn id="2" name="GPS, FGTS e outras contribuições" dataDxfId="205"/>
    <tableColumn id="3" name="Percentual" totalsRowFunction="sum" dataDxfId="206"/>
    <tableColumn id="4" name="Valor " totalsRowFunction="custom">
      <totalsRowFormula>TRUNC(SUM(D32:D39),2)</totalsRowFormula>
       dataDxfId="207"
    </tableColumn>
  </tableColumns>
  <tableStyleInfo name="TableStyleMedium14" showFirstColumn="0" showLastColumn="0" showRowStripes="1" showColumnStripes="0"/>
</table>
</file>

<file path=xl/tables/table57.xml><?xml version="1.0" encoding="utf-8"?>
<table xmlns="http://schemas.openxmlformats.org/spreadsheetml/2006/main" id="163" name="ResumoPosto3016_33127152164" displayName="ResumoPosto3016_33127152164" ref="A121:D129">
  <autoFilter ref="A121:D129"/>
  <tableColumns count="4">
    <tableColumn id="1" name="Item" totalsRowLabel="Total" dataDxfId="208"/>
    <tableColumn id="2" name="Mão de obra vinculada à execução contratual" dataDxfId="209"/>
    <tableColumn id="3" name="-" dataDxfId="210"/>
    <tableColumn id="4" name="Valor" totalsRowFunction="sum" dataDxfId="211"/>
  </tableColumns>
  <tableStyleInfo name="TableStyleMedium14" showFirstColumn="0" showLastColumn="0" showRowStripes="1" showColumnStripes="0"/>
</table>
</file>

<file path=xl/tables/table58.xml><?xml version="1.0" encoding="utf-8"?>
<table xmlns="http://schemas.openxmlformats.org/spreadsheetml/2006/main" id="164" name="Módulo62915_34128151165" displayName="Módulo62915_34128151165" ref="A111:D118" totalsRowCount="1">
  <tableColumns count="4">
    <tableColumn id="1" name="6" totalsRowLabel="Total" dataDxfId="212"/>
    <tableColumn id="2" name="Custos Indiretos, Tributos e Lucro" dataDxfId="213"/>
    <tableColumn id="3" name="Percentual" dataDxfId="214"/>
    <tableColumn id="4" name="Valor" totalsRowFunction="custom">
      <totalsRowFormula>TRUNC(SUM(D112:D114),2)</totalsRowFormula>
       dataDxfId="215"
    </tableColumn>
  </tableColumns>
  <tableStyleInfo name="TableStyleMedium14" showFirstColumn="0" showLastColumn="0" showRowStripes="1" showColumnStripes="0"/>
</table>
</file>

<file path=xl/tables/table59.xml><?xml version="1.0" encoding="utf-8"?>
<table xmlns="http://schemas.openxmlformats.org/spreadsheetml/2006/main" id="165" name="DadosGerais3117_35131150166" displayName="DadosGerais3117_35131150166" ref="F2:G9" totalsRowShown="0">
  <autoFilter ref="F2:G9"/>
  <tableColumns count="2">
    <tableColumn id="1" name="Descrição" dataDxfId="216"/>
    <tableColumn id="2" name="Valor" dataDxfId="217"/>
  </tableColumns>
  <tableStyleInfo name="TableStyleMedium14" showFirstColumn="0" showLastColumn="0" showRowStripes="1" showColumnStripes="0"/>
</table>
</file>

<file path=xl/tables/table6.xml><?xml version="1.0" encoding="utf-8"?>
<table xmlns="http://schemas.openxmlformats.org/spreadsheetml/2006/main" id="56" name="ResumoMódulo29" displayName="ResumoMódulo29" ref="A62:D66" totalsRowCount="1">
  <autoFilter ref="A62:D65">
    <filterColumn colId="0" hiddenButton="1"/>
    <filterColumn colId="1" hiddenButton="1"/>
    <filterColumn colId="2" hiddenButton="1"/>
    <filterColumn colId="3" hiddenButton="1"/>
  </autoFilter>
  <tableColumns count="4">
    <tableColumn id="1" name="2" totalsRowLabel="Total" dataDxfId="20"/>
    <tableColumn id="2" name="Encargos e Benefícios Anuais, Mensais e Diários" dataDxfId="21"/>
    <tableColumn id="3" name="Comentário" dataDxfId="22"/>
    <tableColumn id="4" name="Valor" totalsRowFunction="sum" dataDxfId="23"/>
  </tableColumns>
  <tableStyleInfo name="TableStyleMedium14" showFirstColumn="0" showLastColumn="0" showRowStripes="1" showColumnStripes="0"/>
</table>
</file>

<file path=xl/tables/table60.xml><?xml version="1.0" encoding="utf-8"?>
<table xmlns="http://schemas.openxmlformats.org/spreadsheetml/2006/main" id="166" name="Módulo52814_32126153167" displayName="Módulo52814_32126153167" ref="A96:D101" totalsRowCount="1">
  <autoFilter ref="A96:D100"/>
  <tableColumns count="4">
    <tableColumn id="1" name="5" totalsRowLabel="Total" dataDxfId="218"/>
    <tableColumn id="2" name="Insumos Diversos" dataDxfId="219"/>
    <tableColumn id="3" name="Comentário" dataDxfId="220"/>
    <tableColumn id="4" name="Valor" totalsRowFunction="custom">
      <totalsRowFormula>TRUNC(SUM(D97:D100),2)</totalsRowFormula>
       dataDxfId="221"
    </tableColumn>
  </tableColumns>
  <tableStyleInfo name="TableStyleMedium14" showFirstColumn="0" showLastColumn="0" showRowStripes="1" showColumnStripes="0"/>
</table>
</file>

<file path=xl/tables/table61.xml><?xml version="1.0" encoding="utf-8"?>
<table xmlns="http://schemas.openxmlformats.org/spreadsheetml/2006/main" id="46" name="Table46" displayName="Table46" ref="A3:F70">
  <tableColumns count="6">
    <tableColumn id="1" name="ITEM" totalsRowLabel="46" dataDxfId="222"/>
    <tableColumn id="2" name="DESCRIÇÃO" totalsRowLabel="Refil para saboneteira em ABS ALTO IMPACTO para Álcool Gel ou Sabonete Líquido em Sachê ou Refil 5-J7AI" dataDxfId="223"/>
    <tableColumn id="3" name="UNIDADE" dataDxfId="224"/>
    <tableColumn id="4" name="  VALOR UNITÁRIO ESTIMADO(R$) " dataDxfId="225"/>
    <tableColumn id="5" name="QUANTIDADE" dataDxfId="226"/>
    <tableColumn id="6" name="VALOR TOTAL  (R$)" dataDxfId="227"/>
  </tableColumns>
  <tableStyleInfo name="TableStyleMedium14" showFirstColumn="0" showLastColumn="0" showRowStripes="1" showColumnStripes="0"/>
</table>
</file>

<file path=xl/tables/table7.xml><?xml version="1.0" encoding="utf-8"?>
<table xmlns="http://schemas.openxmlformats.org/spreadsheetml/2006/main" id="57" name="Módulo324" displayName="Módulo324" ref="A69:D76" totalsRowCount="1">
  <autoFilter ref="A69:D75">
    <filterColumn colId="0" hiddenButton="1"/>
    <filterColumn colId="1" hiddenButton="1"/>
    <filterColumn colId="2" hiddenButton="1"/>
    <filterColumn colId="3" hiddenButton="1"/>
  </autoFilter>
  <tableColumns count="4">
    <tableColumn id="1" name="3" totalsRowLabel="Total" dataDxfId="24"/>
    <tableColumn id="2" name="Provisão para Rescisão" dataDxfId="25"/>
    <tableColumn id="3" name="Comentário" dataDxfId="26"/>
    <tableColumn id="4" name="Valor" totalsRowFunction="sum" dataDxfId="27"/>
  </tableColumns>
  <tableStyleInfo name="TableStyleMedium14" showFirstColumn="0" showLastColumn="0" showRowStripes="1" showColumnStripes="0"/>
</table>
</file>

<file path=xl/tables/table8.xml><?xml version="1.0" encoding="utf-8"?>
<table xmlns="http://schemas.openxmlformats.org/spreadsheetml/2006/main" id="58" name="Submódulo4.125" displayName="Submódulo4.125" ref="A89:D96" totalsRowCount="1">
  <autoFilter ref="A89:D95">
    <filterColumn colId="0" hiddenButton="1"/>
    <filterColumn colId="1" hiddenButton="1"/>
    <filterColumn colId="2" hiddenButton="1"/>
    <filterColumn colId="3" hiddenButton="1"/>
  </autoFilter>
  <tableColumns count="4">
    <tableColumn id="1" name="4.1" totalsRowLabel="Total" dataDxfId="28"/>
    <tableColumn id="2" name="Substituto nas Ausências Legais" dataDxfId="29"/>
    <tableColumn id="3" name="Dias de ausência" totalsRowFunction="sum" dataDxfId="30"/>
    <tableColumn id="4" name="Valor" totalsRowFunction="sum" dataDxfId="31"/>
  </tableColumns>
  <tableStyleInfo name="TableStyleMedium14" showFirstColumn="0" showLastColumn="0" showRowStripes="1" showColumnStripes="0"/>
</table>
</file>

<file path=xl/tables/table9.xml><?xml version="1.0" encoding="utf-8"?>
<table xmlns="http://schemas.openxmlformats.org/spreadsheetml/2006/main" id="59" name="Submódulo4.226" displayName="Submódulo4.226" ref="A105:D107" totalsRowCount="1">
  <autoFilter ref="A105:D106">
    <filterColumn colId="0" hiddenButton="1"/>
    <filterColumn colId="1" hiddenButton="1"/>
    <filterColumn colId="2" hiddenButton="1"/>
    <filterColumn colId="3" hiddenButton="1"/>
  </autoFilter>
  <tableColumns count="4">
    <tableColumn id="1" name="4.2" totalsRowLabel="Total" dataDxfId="32"/>
    <tableColumn id="2" name="Substituto na Intrajornada " dataDxfId="33"/>
    <tableColumn id="3" name="Comentário" dataDxfId="34"/>
    <tableColumn id="4" name="Valor" totalsRowFunction="sum" dataDxfId="35"/>
  </tableColumns>
  <tableStyleInfo name="TableStyleMedium14"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table" Target="../tables/table7.xml"/><Relationship Id="rId8" Type="http://schemas.openxmlformats.org/officeDocument/2006/relationships/table" Target="../tables/table6.xml"/><Relationship Id="rId7" Type="http://schemas.openxmlformats.org/officeDocument/2006/relationships/table" Target="../tables/table5.xml"/><Relationship Id="rId6" Type="http://schemas.openxmlformats.org/officeDocument/2006/relationships/table" Target="../tables/table4.xml"/><Relationship Id="rId5" Type="http://schemas.openxmlformats.org/officeDocument/2006/relationships/table" Target="../tables/table3.xml"/><Relationship Id="rId4" Type="http://schemas.openxmlformats.org/officeDocument/2006/relationships/table" Target="../tables/table2.xml"/><Relationship Id="rId3" Type="http://schemas.openxmlformats.org/officeDocument/2006/relationships/table" Target="../tables/table1.xml"/><Relationship Id="rId25" Type="http://schemas.openxmlformats.org/officeDocument/2006/relationships/table" Target="../tables/table23.xml"/><Relationship Id="rId24" Type="http://schemas.openxmlformats.org/officeDocument/2006/relationships/table" Target="../tables/table22.xml"/><Relationship Id="rId23" Type="http://schemas.openxmlformats.org/officeDocument/2006/relationships/table" Target="../tables/table21.xml"/><Relationship Id="rId22" Type="http://schemas.openxmlformats.org/officeDocument/2006/relationships/table" Target="../tables/table20.xml"/><Relationship Id="rId21" Type="http://schemas.openxmlformats.org/officeDocument/2006/relationships/table" Target="../tables/table19.xml"/><Relationship Id="rId20" Type="http://schemas.openxmlformats.org/officeDocument/2006/relationships/table" Target="../tables/table18.xml"/><Relationship Id="rId2" Type="http://schemas.openxmlformats.org/officeDocument/2006/relationships/vmlDrawing" Target="../drawings/vmlDrawing1.vml"/><Relationship Id="rId19" Type="http://schemas.openxmlformats.org/officeDocument/2006/relationships/table" Target="../tables/table17.xml"/><Relationship Id="rId18" Type="http://schemas.openxmlformats.org/officeDocument/2006/relationships/table" Target="../tables/table16.xml"/><Relationship Id="rId17" Type="http://schemas.openxmlformats.org/officeDocument/2006/relationships/table" Target="../tables/table15.xml"/><Relationship Id="rId16" Type="http://schemas.openxmlformats.org/officeDocument/2006/relationships/table" Target="../tables/table14.xml"/><Relationship Id="rId15" Type="http://schemas.openxmlformats.org/officeDocument/2006/relationships/table" Target="../tables/table13.xml"/><Relationship Id="rId14" Type="http://schemas.openxmlformats.org/officeDocument/2006/relationships/table" Target="../tables/table12.xml"/><Relationship Id="rId13" Type="http://schemas.openxmlformats.org/officeDocument/2006/relationships/table" Target="../tables/table11.xml"/><Relationship Id="rId12" Type="http://schemas.openxmlformats.org/officeDocument/2006/relationships/table" Target="../tables/table10.xml"/><Relationship Id="rId11" Type="http://schemas.openxmlformats.org/officeDocument/2006/relationships/table" Target="../tables/table9.xml"/><Relationship Id="rId10" Type="http://schemas.openxmlformats.org/officeDocument/2006/relationships/table" Target="../tables/table8.xml"/><Relationship Id="rId1" Type="http://schemas.openxmlformats.org/officeDocument/2006/relationships/comments" Target="../comments1.xml"/></Relationships>
</file>

<file path=xl/worksheets/_rels/sheet2.xml.rels><?xml version="1.0" encoding="UTF-8" standalone="yes"?>
<Relationships xmlns="http://schemas.openxmlformats.org/package/2006/relationships"><Relationship Id="rId9" Type="http://schemas.openxmlformats.org/officeDocument/2006/relationships/table" Target="../tables/table30.xml"/><Relationship Id="rId8" Type="http://schemas.openxmlformats.org/officeDocument/2006/relationships/table" Target="../tables/table29.xml"/><Relationship Id="rId7" Type="http://schemas.openxmlformats.org/officeDocument/2006/relationships/table" Target="../tables/table28.xml"/><Relationship Id="rId6" Type="http://schemas.openxmlformats.org/officeDocument/2006/relationships/table" Target="../tables/table27.xml"/><Relationship Id="rId5" Type="http://schemas.openxmlformats.org/officeDocument/2006/relationships/table" Target="../tables/table26.xml"/><Relationship Id="rId4" Type="http://schemas.openxmlformats.org/officeDocument/2006/relationships/table" Target="../tables/table25.xml"/><Relationship Id="rId3" Type="http://schemas.openxmlformats.org/officeDocument/2006/relationships/table" Target="../tables/table24.xml"/><Relationship Id="rId25" Type="http://schemas.openxmlformats.org/officeDocument/2006/relationships/table" Target="../tables/table46.xml"/><Relationship Id="rId24" Type="http://schemas.openxmlformats.org/officeDocument/2006/relationships/table" Target="../tables/table45.xml"/><Relationship Id="rId23" Type="http://schemas.openxmlformats.org/officeDocument/2006/relationships/table" Target="../tables/table44.xml"/><Relationship Id="rId22" Type="http://schemas.openxmlformats.org/officeDocument/2006/relationships/table" Target="../tables/table43.xml"/><Relationship Id="rId21" Type="http://schemas.openxmlformats.org/officeDocument/2006/relationships/table" Target="../tables/table42.xml"/><Relationship Id="rId20" Type="http://schemas.openxmlformats.org/officeDocument/2006/relationships/table" Target="../tables/table41.xml"/><Relationship Id="rId2" Type="http://schemas.openxmlformats.org/officeDocument/2006/relationships/vmlDrawing" Target="../drawings/vmlDrawing2.vml"/><Relationship Id="rId19" Type="http://schemas.openxmlformats.org/officeDocument/2006/relationships/table" Target="../tables/table40.xml"/><Relationship Id="rId18" Type="http://schemas.openxmlformats.org/officeDocument/2006/relationships/table" Target="../tables/table39.xml"/><Relationship Id="rId17" Type="http://schemas.openxmlformats.org/officeDocument/2006/relationships/table" Target="../tables/table38.xml"/><Relationship Id="rId16" Type="http://schemas.openxmlformats.org/officeDocument/2006/relationships/table" Target="../tables/table37.xml"/><Relationship Id="rId15" Type="http://schemas.openxmlformats.org/officeDocument/2006/relationships/table" Target="../tables/table36.xml"/><Relationship Id="rId14" Type="http://schemas.openxmlformats.org/officeDocument/2006/relationships/table" Target="../tables/table35.xml"/><Relationship Id="rId13" Type="http://schemas.openxmlformats.org/officeDocument/2006/relationships/table" Target="../tables/table34.xml"/><Relationship Id="rId12" Type="http://schemas.openxmlformats.org/officeDocument/2006/relationships/table" Target="../tables/table33.xml"/><Relationship Id="rId11" Type="http://schemas.openxmlformats.org/officeDocument/2006/relationships/table" Target="../tables/table32.xml"/><Relationship Id="rId10" Type="http://schemas.openxmlformats.org/officeDocument/2006/relationships/table" Target="../tables/table31.xml"/><Relationship Id="rId1" Type="http://schemas.openxmlformats.org/officeDocument/2006/relationships/comments" Target="../comments2.xml"/></Relationships>
</file>

<file path=xl/worksheets/_rels/sheet3.xml.rels><?xml version="1.0" encoding="UTF-8" standalone="yes"?>
<Relationships xmlns="http://schemas.openxmlformats.org/package/2006/relationships"><Relationship Id="rId9" Type="http://schemas.openxmlformats.org/officeDocument/2006/relationships/table" Target="../tables/table53.xml"/><Relationship Id="rId8" Type="http://schemas.openxmlformats.org/officeDocument/2006/relationships/table" Target="../tables/table52.xml"/><Relationship Id="rId7" Type="http://schemas.openxmlformats.org/officeDocument/2006/relationships/table" Target="../tables/table51.xml"/><Relationship Id="rId6" Type="http://schemas.openxmlformats.org/officeDocument/2006/relationships/table" Target="../tables/table50.xml"/><Relationship Id="rId5" Type="http://schemas.openxmlformats.org/officeDocument/2006/relationships/table" Target="../tables/table49.xml"/><Relationship Id="rId4" Type="http://schemas.openxmlformats.org/officeDocument/2006/relationships/table" Target="../tables/table48.xml"/><Relationship Id="rId3" Type="http://schemas.openxmlformats.org/officeDocument/2006/relationships/table" Target="../tables/table47.xml"/><Relationship Id="rId2" Type="http://schemas.openxmlformats.org/officeDocument/2006/relationships/vmlDrawing" Target="../drawings/vmlDrawing3.vml"/><Relationship Id="rId16" Type="http://schemas.openxmlformats.org/officeDocument/2006/relationships/table" Target="../tables/table60.xml"/><Relationship Id="rId15" Type="http://schemas.openxmlformats.org/officeDocument/2006/relationships/table" Target="../tables/table59.xml"/><Relationship Id="rId14" Type="http://schemas.openxmlformats.org/officeDocument/2006/relationships/table" Target="../tables/table58.xml"/><Relationship Id="rId13" Type="http://schemas.openxmlformats.org/officeDocument/2006/relationships/table" Target="../tables/table57.xml"/><Relationship Id="rId12" Type="http://schemas.openxmlformats.org/officeDocument/2006/relationships/table" Target="../tables/table56.xml"/><Relationship Id="rId11" Type="http://schemas.openxmlformats.org/officeDocument/2006/relationships/table" Target="../tables/table55.xml"/><Relationship Id="rId10" Type="http://schemas.openxmlformats.org/officeDocument/2006/relationships/table" Target="../tables/table54.xml"/><Relationship Id="rId1" Type="http://schemas.openxmlformats.org/officeDocument/2006/relationships/comments" Target="../comments3.xml"/></Relationships>
</file>

<file path=xl/worksheets/_rels/sheet4.xml.rels><?xml version="1.0" encoding="UTF-8" standalone="yes"?>
<Relationships xmlns="http://schemas.openxmlformats.org/package/2006/relationships"><Relationship Id="rId1" Type="http://schemas.openxmlformats.org/officeDocument/2006/relationships/table" Target="../tables/table6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U150"/>
  <sheetViews>
    <sheetView showGridLines="0" zoomScale="85" zoomScaleNormal="85" topLeftCell="A125" workbookViewId="0">
      <selection activeCell="D150" sqref="D150"/>
    </sheetView>
  </sheetViews>
  <sheetFormatPr defaultColWidth="9" defaultRowHeight="15"/>
  <cols>
    <col min="1" max="1" width="12.4285714285714" customWidth="1"/>
    <col min="2" max="2" width="76.4285714285714" customWidth="1"/>
    <col min="3" max="3" width="28.4285714285714" customWidth="1"/>
    <col min="4" max="4" width="27.4285714285714" customWidth="1"/>
    <col min="6" max="6" width="32.7142857142857" customWidth="1"/>
    <col min="7" max="7" width="13" customWidth="1"/>
  </cols>
  <sheetData>
    <row r="1" spans="1:21">
      <c r="A1" s="56" t="s">
        <v>0</v>
      </c>
      <c r="B1" s="56"/>
      <c r="C1" s="56"/>
      <c r="D1" s="56"/>
      <c r="F1" s="57" t="s">
        <v>1</v>
      </c>
      <c r="G1" s="57"/>
      <c r="H1" s="77"/>
      <c r="I1" s="77"/>
      <c r="J1" s="77"/>
      <c r="K1" s="77"/>
      <c r="L1" s="77"/>
      <c r="M1" s="77"/>
      <c r="N1" s="77"/>
      <c r="O1" s="77"/>
      <c r="P1" s="77"/>
      <c r="Q1" s="77"/>
      <c r="R1" s="77"/>
      <c r="S1" s="77"/>
      <c r="T1" s="77"/>
      <c r="U1" s="77"/>
    </row>
    <row r="2" spans="1:21">
      <c r="A2" s="38" t="s">
        <v>2</v>
      </c>
      <c r="B2" t="s">
        <v>3</v>
      </c>
      <c r="C2" s="38" t="s">
        <v>4</v>
      </c>
      <c r="D2" s="38" t="s">
        <v>5</v>
      </c>
      <c r="F2" t="s">
        <v>3</v>
      </c>
      <c r="G2" t="s">
        <v>5</v>
      </c>
      <c r="H2" s="77"/>
      <c r="I2" s="77"/>
      <c r="J2" s="77"/>
      <c r="K2" s="77"/>
      <c r="L2" s="77"/>
      <c r="M2" s="77"/>
      <c r="N2" s="77"/>
      <c r="O2" s="77"/>
      <c r="P2" s="77"/>
      <c r="Q2" s="77"/>
      <c r="R2" s="77"/>
      <c r="S2" s="77"/>
      <c r="T2" s="77"/>
      <c r="U2" s="77"/>
    </row>
    <row r="3" spans="1:21">
      <c r="A3" s="38">
        <v>1</v>
      </c>
      <c r="B3" t="s">
        <v>6</v>
      </c>
      <c r="C3" s="38"/>
      <c r="D3" s="38" t="s">
        <v>7</v>
      </c>
      <c r="F3" t="s">
        <v>8</v>
      </c>
      <c r="G3" s="104">
        <v>3.8</v>
      </c>
      <c r="H3" s="77"/>
      <c r="I3" s="77"/>
      <c r="J3" s="77"/>
      <c r="K3" s="77"/>
      <c r="L3" s="77"/>
      <c r="M3" s="77"/>
      <c r="N3" s="77"/>
      <c r="O3" s="77"/>
      <c r="P3" s="77"/>
      <c r="Q3" s="77"/>
      <c r="R3" s="77"/>
      <c r="S3" s="77"/>
      <c r="T3" s="77"/>
      <c r="U3" s="77"/>
    </row>
    <row r="4" spans="1:21">
      <c r="A4" s="38">
        <v>2</v>
      </c>
      <c r="B4" t="s">
        <v>9</v>
      </c>
      <c r="C4" s="38"/>
      <c r="D4" s="38" t="s">
        <v>10</v>
      </c>
      <c r="F4" t="s">
        <v>11</v>
      </c>
      <c r="G4" s="104">
        <v>14</v>
      </c>
      <c r="H4" s="77"/>
      <c r="I4" s="77"/>
      <c r="J4" s="77"/>
      <c r="K4" s="77"/>
      <c r="L4" s="77"/>
      <c r="M4" s="77"/>
      <c r="N4" s="77"/>
      <c r="O4" s="77"/>
      <c r="P4" s="77"/>
      <c r="Q4" s="77"/>
      <c r="R4" s="77"/>
      <c r="S4" s="77"/>
      <c r="T4" s="77"/>
      <c r="U4" s="77"/>
    </row>
    <row r="5" spans="1:21">
      <c r="A5" s="38">
        <v>3</v>
      </c>
      <c r="B5" t="s">
        <v>12</v>
      </c>
      <c r="C5" s="38" t="s">
        <v>13</v>
      </c>
      <c r="D5" s="105">
        <v>1002.88</v>
      </c>
      <c r="F5" t="s">
        <v>14</v>
      </c>
      <c r="G5" s="106">
        <v>22</v>
      </c>
      <c r="H5" s="77"/>
      <c r="I5" s="77"/>
      <c r="J5" s="77"/>
      <c r="K5" s="77"/>
      <c r="L5" s="77"/>
      <c r="M5" s="77"/>
      <c r="N5" s="77"/>
      <c r="O5" s="77"/>
      <c r="P5" s="77"/>
      <c r="Q5" s="77"/>
      <c r="R5" s="77"/>
      <c r="S5" s="77"/>
      <c r="T5" s="77"/>
      <c r="U5" s="77"/>
    </row>
    <row r="6" spans="1:21">
      <c r="A6" s="38">
        <v>4</v>
      </c>
      <c r="B6" t="s">
        <v>15</v>
      </c>
      <c r="C6" s="38" t="s">
        <v>16</v>
      </c>
      <c r="D6" s="38" t="s">
        <v>17</v>
      </c>
      <c r="F6" t="s">
        <v>18</v>
      </c>
      <c r="G6" s="107">
        <v>0.03</v>
      </c>
      <c r="H6" s="77"/>
      <c r="I6" s="77"/>
      <c r="J6" s="77"/>
      <c r="K6" s="77"/>
      <c r="L6" s="77"/>
      <c r="M6" s="77"/>
      <c r="N6" s="77"/>
      <c r="O6" s="77"/>
      <c r="P6" s="77"/>
      <c r="Q6" s="77"/>
      <c r="R6" s="77"/>
      <c r="S6" s="77"/>
      <c r="T6" s="77"/>
      <c r="U6" s="77"/>
    </row>
    <row r="7" spans="1:21">
      <c r="A7" s="38">
        <v>5</v>
      </c>
      <c r="B7" t="s">
        <v>19</v>
      </c>
      <c r="C7" s="38"/>
      <c r="D7" s="38" t="s">
        <v>20</v>
      </c>
      <c r="H7" s="77"/>
      <c r="I7" s="77"/>
      <c r="J7" s="77"/>
      <c r="K7" s="77"/>
      <c r="L7" s="77"/>
      <c r="M7" s="77"/>
      <c r="N7" s="77"/>
      <c r="O7" s="77"/>
      <c r="P7" s="77"/>
      <c r="Q7" s="77"/>
      <c r="R7" s="77"/>
      <c r="S7" s="77"/>
      <c r="T7" s="77"/>
      <c r="U7" s="77"/>
    </row>
    <row r="8" spans="6:21">
      <c r="F8" s="57" t="s">
        <v>21</v>
      </c>
      <c r="G8" s="57"/>
      <c r="H8" s="77"/>
      <c r="I8" s="77"/>
      <c r="J8" s="77"/>
      <c r="K8" s="77"/>
      <c r="L8" s="77"/>
      <c r="M8" s="77"/>
      <c r="N8" s="77"/>
      <c r="O8" s="77"/>
      <c r="P8" s="77"/>
      <c r="Q8" s="77"/>
      <c r="R8" s="77"/>
      <c r="S8" s="77"/>
      <c r="T8" s="77"/>
      <c r="U8" s="77"/>
    </row>
    <row r="9" spans="1:21">
      <c r="A9" s="65" t="s">
        <v>22</v>
      </c>
      <c r="B9" s="65"/>
      <c r="C9" s="65"/>
      <c r="D9" s="65"/>
      <c r="F9" t="s">
        <v>23</v>
      </c>
      <c r="G9" t="s">
        <v>24</v>
      </c>
      <c r="H9" s="77"/>
      <c r="I9" s="77"/>
      <c r="J9" s="77"/>
      <c r="K9" s="77"/>
      <c r="L9" s="77"/>
      <c r="M9" s="77"/>
      <c r="N9" s="77"/>
      <c r="O9" s="77"/>
      <c r="P9" s="77"/>
      <c r="Q9" s="77"/>
      <c r="R9" s="77"/>
      <c r="S9" s="77"/>
      <c r="T9" s="77"/>
      <c r="U9" s="77"/>
    </row>
    <row r="10" spans="1:21">
      <c r="A10" s="38" t="s">
        <v>25</v>
      </c>
      <c r="B10" t="s">
        <v>26</v>
      </c>
      <c r="C10" s="38" t="s">
        <v>4</v>
      </c>
      <c r="D10" s="38" t="s">
        <v>5</v>
      </c>
      <c r="F10" t="s">
        <v>27</v>
      </c>
      <c r="G10" s="108">
        <v>0.4337</v>
      </c>
      <c r="H10" s="77"/>
      <c r="I10" s="77"/>
      <c r="J10" s="77"/>
      <c r="K10" s="77"/>
      <c r="L10" s="77"/>
      <c r="M10" s="77"/>
      <c r="N10" s="77"/>
      <c r="O10" s="77"/>
      <c r="P10" s="77"/>
      <c r="Q10" s="77"/>
      <c r="R10" s="77"/>
      <c r="S10" s="77"/>
      <c r="T10" s="77"/>
      <c r="U10" s="77"/>
    </row>
    <row r="11" spans="1:21">
      <c r="A11" s="38" t="s">
        <v>28</v>
      </c>
      <c r="B11" t="s">
        <v>29</v>
      </c>
      <c r="C11" s="38"/>
      <c r="D11" s="70">
        <f>Salário_Normativo_da_Categoria_Profissional</f>
        <v>1002.88</v>
      </c>
      <c r="F11" t="s">
        <v>30</v>
      </c>
      <c r="G11" s="108">
        <v>0.4337</v>
      </c>
      <c r="H11" s="77"/>
      <c r="I11" s="77"/>
      <c r="J11" s="77"/>
      <c r="K11" s="77"/>
      <c r="L11" s="77"/>
      <c r="M11" s="77"/>
      <c r="N11" s="77"/>
      <c r="O11" s="77"/>
      <c r="P11" s="77"/>
      <c r="Q11" s="77"/>
      <c r="R11" s="77"/>
      <c r="S11" s="77"/>
      <c r="T11" s="77"/>
      <c r="U11" s="77"/>
    </row>
    <row r="12" spans="1:21">
      <c r="A12" s="38" t="s">
        <v>31</v>
      </c>
      <c r="B12" t="s">
        <v>32</v>
      </c>
      <c r="C12" s="38"/>
      <c r="D12" s="70"/>
      <c r="F12" t="s">
        <v>33</v>
      </c>
      <c r="G12" s="108">
        <v>0.0218</v>
      </c>
      <c r="H12" s="77"/>
      <c r="I12" s="77"/>
      <c r="J12" s="77"/>
      <c r="K12" s="77"/>
      <c r="L12" s="77"/>
      <c r="M12" s="77"/>
      <c r="N12" s="77"/>
      <c r="O12" s="77"/>
      <c r="P12" s="77"/>
      <c r="Q12" s="77"/>
      <c r="R12" s="77"/>
      <c r="S12" s="77"/>
      <c r="T12" s="77"/>
      <c r="U12" s="77"/>
    </row>
    <row r="13" spans="1:21">
      <c r="A13" s="38" t="s">
        <v>34</v>
      </c>
      <c r="B13" t="s">
        <v>35</v>
      </c>
      <c r="C13" s="38"/>
      <c r="D13" s="70"/>
      <c r="H13" s="77"/>
      <c r="I13" s="77"/>
      <c r="J13" s="77"/>
      <c r="K13" s="77"/>
      <c r="L13" s="77"/>
      <c r="M13" s="77"/>
      <c r="N13" s="77"/>
      <c r="O13" s="77"/>
      <c r="P13" s="77"/>
      <c r="Q13" s="77"/>
      <c r="R13" s="77"/>
      <c r="S13" s="77"/>
      <c r="T13" s="77"/>
      <c r="U13" s="77"/>
    </row>
    <row r="14" spans="1:21">
      <c r="A14" s="38" t="s">
        <v>36</v>
      </c>
      <c r="B14" t="s">
        <v>37</v>
      </c>
      <c r="C14" s="38"/>
      <c r="D14" s="70"/>
      <c r="F14" s="57" t="s">
        <v>38</v>
      </c>
      <c r="G14" s="57"/>
      <c r="H14" s="77"/>
      <c r="I14" s="77"/>
      <c r="J14" s="77"/>
      <c r="K14" s="77"/>
      <c r="L14" s="77"/>
      <c r="M14" s="77"/>
      <c r="N14" s="77"/>
      <c r="O14" s="77"/>
      <c r="P14" s="77"/>
      <c r="Q14" s="77"/>
      <c r="R14" s="77"/>
      <c r="S14" s="77"/>
      <c r="T14" s="77"/>
      <c r="U14" s="77"/>
    </row>
    <row r="15" spans="1:21">
      <c r="A15" s="38" t="s">
        <v>39</v>
      </c>
      <c r="B15" t="s">
        <v>40</v>
      </c>
      <c r="C15" s="38"/>
      <c r="D15" s="70"/>
      <c r="F15" s="77" t="s">
        <v>3</v>
      </c>
      <c r="G15" s="77" t="s">
        <v>24</v>
      </c>
      <c r="H15" s="77"/>
      <c r="I15" s="77"/>
      <c r="J15" s="77"/>
      <c r="K15" s="77"/>
      <c r="L15" s="77"/>
      <c r="M15" s="77"/>
      <c r="N15" s="77"/>
      <c r="O15" s="77"/>
      <c r="P15" s="77"/>
      <c r="Q15" s="77"/>
      <c r="R15" s="77"/>
      <c r="S15" s="77"/>
      <c r="T15" s="77"/>
      <c r="U15" s="77"/>
    </row>
    <row r="16" spans="1:21">
      <c r="A16" s="38" t="s">
        <v>41</v>
      </c>
      <c r="B16" t="s">
        <v>42</v>
      </c>
      <c r="C16" s="38"/>
      <c r="D16" s="70"/>
      <c r="F16" s="77" t="s">
        <v>43</v>
      </c>
      <c r="G16" s="109">
        <v>0.03</v>
      </c>
      <c r="H16" s="77"/>
      <c r="I16" s="77"/>
      <c r="J16" s="77"/>
      <c r="K16" s="77"/>
      <c r="L16" s="77"/>
      <c r="M16" s="77"/>
      <c r="N16" s="77"/>
      <c r="O16" s="77"/>
      <c r="P16" s="77"/>
      <c r="Q16" s="77"/>
      <c r="R16" s="77"/>
      <c r="S16" s="77"/>
      <c r="T16" s="77"/>
      <c r="U16" s="77"/>
    </row>
    <row r="17" spans="1:21">
      <c r="A17" s="38" t="s">
        <v>44</v>
      </c>
      <c r="C17" s="38"/>
      <c r="D17" s="70">
        <f>SUBTOTAL(109,Módulo13[Valor])</f>
        <v>1002.88</v>
      </c>
      <c r="F17" s="77" t="s">
        <v>45</v>
      </c>
      <c r="G17" s="109">
        <v>0.0679</v>
      </c>
      <c r="H17" s="77"/>
      <c r="I17" s="77"/>
      <c r="J17" s="77"/>
      <c r="K17" s="77"/>
      <c r="L17" s="77"/>
      <c r="M17" s="77"/>
      <c r="N17" s="77"/>
      <c r="O17" s="77"/>
      <c r="P17" s="77"/>
      <c r="Q17" s="77"/>
      <c r="R17" s="77"/>
      <c r="S17" s="77"/>
      <c r="T17" s="77"/>
      <c r="U17" s="77"/>
    </row>
    <row r="18" spans="6:21">
      <c r="F18" s="77" t="s">
        <v>46</v>
      </c>
      <c r="G18" s="110">
        <v>0.0165</v>
      </c>
      <c r="H18" s="77"/>
      <c r="I18" s="77"/>
      <c r="J18" s="77"/>
      <c r="K18" s="77"/>
      <c r="L18" s="77"/>
      <c r="M18" s="77"/>
      <c r="N18" s="77"/>
      <c r="O18" s="77"/>
      <c r="P18" s="77"/>
      <c r="Q18" s="77"/>
      <c r="R18" s="77"/>
      <c r="S18" s="77"/>
      <c r="T18" s="77"/>
      <c r="U18" s="77"/>
    </row>
    <row r="19" spans="1:21">
      <c r="A19" s="71" t="s">
        <v>47</v>
      </c>
      <c r="B19" s="71"/>
      <c r="C19" s="71"/>
      <c r="D19" s="71"/>
      <c r="F19" s="77" t="s">
        <v>48</v>
      </c>
      <c r="G19" s="110">
        <v>0.076</v>
      </c>
      <c r="H19" s="77"/>
      <c r="I19" s="77"/>
      <c r="J19" s="77"/>
      <c r="K19" s="77"/>
      <c r="L19" s="77"/>
      <c r="M19" s="77"/>
      <c r="N19" s="77"/>
      <c r="O19" s="77"/>
      <c r="P19" s="77"/>
      <c r="Q19" s="77"/>
      <c r="R19" s="77"/>
      <c r="S19" s="77"/>
      <c r="T19" s="77"/>
      <c r="U19" s="77"/>
    </row>
    <row r="20" spans="1:21">
      <c r="A20" s="57" t="s">
        <v>49</v>
      </c>
      <c r="B20" s="57"/>
      <c r="C20" s="57"/>
      <c r="D20" s="57"/>
      <c r="F20" s="77" t="s">
        <v>50</v>
      </c>
      <c r="G20" s="110">
        <v>0.05</v>
      </c>
      <c r="H20" s="77"/>
      <c r="I20" s="77"/>
      <c r="J20" s="77"/>
      <c r="K20" s="77"/>
      <c r="L20" s="77"/>
      <c r="M20" s="77"/>
      <c r="N20" s="77"/>
      <c r="O20" s="77"/>
      <c r="P20" s="77"/>
      <c r="Q20" s="77"/>
      <c r="R20" s="77"/>
      <c r="S20" s="77"/>
      <c r="T20" s="77"/>
      <c r="U20" s="77"/>
    </row>
    <row r="21" spans="1:21">
      <c r="A21" s="38" t="s">
        <v>51</v>
      </c>
      <c r="B21" t="s">
        <v>52</v>
      </c>
      <c r="C21" s="38" t="s">
        <v>4</v>
      </c>
      <c r="D21" s="38" t="s">
        <v>5</v>
      </c>
      <c r="F21" s="77"/>
      <c r="G21" s="77"/>
      <c r="H21" s="77"/>
      <c r="I21" s="77"/>
      <c r="J21" s="77"/>
      <c r="K21" s="77"/>
      <c r="L21" s="77"/>
      <c r="M21" s="77"/>
      <c r="N21" s="77"/>
      <c r="O21" s="77"/>
      <c r="P21" s="77"/>
      <c r="Q21" s="77"/>
      <c r="R21" s="77"/>
      <c r="S21" s="77"/>
      <c r="T21" s="77"/>
      <c r="U21" s="77"/>
    </row>
    <row r="22" spans="1:21">
      <c r="A22" s="38" t="s">
        <v>28</v>
      </c>
      <c r="B22" t="s">
        <v>53</v>
      </c>
      <c r="D22" s="70">
        <f>Módulo13[[#Totals],[Valor]]/12</f>
        <v>83.5733333333333</v>
      </c>
      <c r="F22" s="57" t="s">
        <v>54</v>
      </c>
      <c r="G22" s="57"/>
      <c r="H22" s="77"/>
      <c r="I22" s="77"/>
      <c r="J22" s="77"/>
      <c r="K22" s="77"/>
      <c r="L22" s="77"/>
      <c r="M22" s="77"/>
      <c r="N22" s="77"/>
      <c r="O22" s="77"/>
      <c r="P22" s="77"/>
      <c r="Q22" s="77"/>
      <c r="R22" s="77"/>
      <c r="S22" s="77"/>
      <c r="T22" s="77"/>
      <c r="U22" s="77"/>
    </row>
    <row r="23" spans="1:21">
      <c r="A23" s="38" t="s">
        <v>31</v>
      </c>
      <c r="B23" t="s">
        <v>55</v>
      </c>
      <c r="D23" s="70">
        <f>(Módulo13[[#Totals],[Valor]]/12)*(1/3)</f>
        <v>27.8577777777778</v>
      </c>
      <c r="E23" s="73"/>
      <c r="F23" s="38" t="s">
        <v>3</v>
      </c>
      <c r="G23" s="38" t="s">
        <v>5</v>
      </c>
      <c r="H23" s="77"/>
      <c r="I23" s="77"/>
      <c r="J23" s="77"/>
      <c r="K23" s="77"/>
      <c r="L23" s="77"/>
      <c r="M23" s="77"/>
      <c r="N23" s="77"/>
      <c r="O23" s="77"/>
      <c r="P23" s="77"/>
      <c r="Q23" s="77"/>
      <c r="R23" s="77"/>
      <c r="S23" s="77"/>
      <c r="T23" s="77"/>
      <c r="U23" s="77"/>
    </row>
    <row r="24" spans="1:21">
      <c r="A24" s="38" t="s">
        <v>44</v>
      </c>
      <c r="D24" s="70">
        <v>111.431111111111</v>
      </c>
      <c r="F24" s="77" t="s">
        <v>56</v>
      </c>
      <c r="G24" s="111">
        <f>((D17+D24+(D17/12))*(100%+C41))/30</f>
        <v>54.6235306666667</v>
      </c>
      <c r="H24" s="77"/>
      <c r="I24" s="77"/>
      <c r="J24" s="77"/>
      <c r="K24" s="77"/>
      <c r="L24" s="77"/>
      <c r="M24" s="77"/>
      <c r="N24" s="77"/>
      <c r="O24" s="77"/>
      <c r="P24" s="77"/>
      <c r="Q24" s="77"/>
      <c r="R24" s="77"/>
      <c r="S24" s="77"/>
      <c r="T24" s="77"/>
      <c r="U24" s="77"/>
    </row>
    <row r="25" spans="1:21">
      <c r="A25" s="38"/>
      <c r="D25" s="70"/>
      <c r="F25" s="77" t="s">
        <v>57</v>
      </c>
      <c r="G25" s="111">
        <f>((D17*(1+(1/3))*(100%+C41))/12)/30</f>
        <v>5.08125866666667</v>
      </c>
      <c r="H25" s="77"/>
      <c r="I25" s="77"/>
      <c r="J25" s="77"/>
      <c r="K25" s="77"/>
      <c r="L25" s="77"/>
      <c r="M25" s="77"/>
      <c r="N25" s="77"/>
      <c r="O25" s="77"/>
      <c r="P25" s="77"/>
      <c r="Q25" s="77"/>
      <c r="R25" s="77"/>
      <c r="S25" s="77"/>
      <c r="T25" s="77"/>
      <c r="U25" s="77"/>
    </row>
    <row r="26" spans="1:21">
      <c r="A26" s="112" t="s">
        <v>58</v>
      </c>
      <c r="B26" s="112"/>
      <c r="C26" s="112"/>
      <c r="D26" s="112"/>
      <c r="F26" s="77"/>
      <c r="G26" s="77"/>
      <c r="H26" s="77"/>
      <c r="I26" s="77"/>
      <c r="J26" s="77"/>
      <c r="K26" s="77"/>
      <c r="L26" s="77"/>
      <c r="M26" s="77"/>
      <c r="N26" s="77"/>
      <c r="O26" s="77"/>
      <c r="P26" s="77"/>
      <c r="Q26" s="77"/>
      <c r="R26" s="77"/>
      <c r="S26" s="77"/>
      <c r="T26" s="77"/>
      <c r="U26" s="77"/>
    </row>
    <row r="27" spans="1:21">
      <c r="A27" s="112" t="s">
        <v>2</v>
      </c>
      <c r="B27" s="112" t="s">
        <v>59</v>
      </c>
      <c r="C27" s="112" t="s">
        <v>60</v>
      </c>
      <c r="D27" s="113" t="s">
        <v>61</v>
      </c>
      <c r="F27" s="77"/>
      <c r="G27" s="77"/>
      <c r="H27" s="77"/>
      <c r="I27" s="77"/>
      <c r="J27" s="77"/>
      <c r="K27" s="77"/>
      <c r="L27" s="77"/>
      <c r="M27" s="77"/>
      <c r="N27" s="77"/>
      <c r="O27" s="77"/>
      <c r="P27" s="77"/>
      <c r="Q27" s="77"/>
      <c r="R27" s="77"/>
      <c r="S27" s="77"/>
      <c r="T27" s="77"/>
      <c r="U27" s="77"/>
    </row>
    <row r="28" ht="30" spans="1:21">
      <c r="A28" s="114" t="s">
        <v>28</v>
      </c>
      <c r="B28" s="115" t="s">
        <v>62</v>
      </c>
      <c r="C28" s="39" t="s">
        <v>63</v>
      </c>
      <c r="D28" s="115" t="s">
        <v>64</v>
      </c>
      <c r="F28" s="77"/>
      <c r="G28" s="77"/>
      <c r="H28" s="77"/>
      <c r="I28" s="77"/>
      <c r="J28" s="77"/>
      <c r="K28" s="77"/>
      <c r="L28" s="77"/>
      <c r="M28" s="77"/>
      <c r="N28" s="77"/>
      <c r="O28" s="77"/>
      <c r="P28" s="77"/>
      <c r="Q28" s="77"/>
      <c r="R28" s="77"/>
      <c r="S28" s="77"/>
      <c r="T28" s="77"/>
      <c r="U28" s="77"/>
    </row>
    <row r="29" spans="1:21">
      <c r="A29" s="114" t="s">
        <v>31</v>
      </c>
      <c r="B29" s="116" t="s">
        <v>55</v>
      </c>
      <c r="C29" s="39" t="s">
        <v>63</v>
      </c>
      <c r="D29" s="115" t="s">
        <v>65</v>
      </c>
      <c r="F29" s="77"/>
      <c r="G29" s="77"/>
      <c r="H29" s="77"/>
      <c r="I29" s="77"/>
      <c r="J29" s="77"/>
      <c r="K29" s="77"/>
      <c r="L29" s="77"/>
      <c r="M29" s="77"/>
      <c r="N29" s="77"/>
      <c r="O29" s="77"/>
      <c r="P29" s="77"/>
      <c r="Q29" s="77"/>
      <c r="R29" s="77"/>
      <c r="S29" s="77"/>
      <c r="T29" s="77"/>
      <c r="U29" s="77"/>
    </row>
    <row r="30" spans="1:21">
      <c r="A30" s="38"/>
      <c r="B30" s="38"/>
      <c r="C30" s="80"/>
      <c r="F30" s="77"/>
      <c r="G30" s="77"/>
      <c r="H30" s="77"/>
      <c r="I30" s="77"/>
      <c r="J30" s="77"/>
      <c r="K30" s="77"/>
      <c r="L30" s="77"/>
      <c r="M30" s="77"/>
      <c r="N30" s="77"/>
      <c r="O30" s="77"/>
      <c r="P30" s="77"/>
      <c r="Q30" s="77"/>
      <c r="R30" s="77"/>
      <c r="S30" s="77"/>
      <c r="T30" s="77"/>
      <c r="U30" s="77"/>
    </row>
    <row r="31" spans="1:4">
      <c r="A31" s="57" t="s">
        <v>66</v>
      </c>
      <c r="B31" s="57"/>
      <c r="C31" s="57"/>
      <c r="D31" s="57"/>
    </row>
    <row r="32" spans="1:4">
      <c r="A32" s="38" t="s">
        <v>67</v>
      </c>
      <c r="B32" t="s">
        <v>68</v>
      </c>
      <c r="C32" s="38" t="s">
        <v>24</v>
      </c>
      <c r="D32" s="38" t="s">
        <v>69</v>
      </c>
    </row>
    <row r="33" spans="1:4">
      <c r="A33" s="38" t="s">
        <v>28</v>
      </c>
      <c r="B33" t="s">
        <v>70</v>
      </c>
      <c r="C33" s="81">
        <v>0.2</v>
      </c>
      <c r="D33" s="70">
        <f>C33*(Módulo13[[#Totals],[Valor]]+Submódulo2.14[[#Totals],[Valor]])</f>
        <v>222.862222222222</v>
      </c>
    </row>
    <row r="34" spans="1:4">
      <c r="A34" s="38" t="s">
        <v>31</v>
      </c>
      <c r="B34" t="s">
        <v>71</v>
      </c>
      <c r="C34" s="81">
        <v>0.025</v>
      </c>
      <c r="D34" s="70">
        <f>C34*(Módulo13[[#Totals],[Valor]]+Submódulo2.14[[#Totals],[Valor]])</f>
        <v>27.8577777777778</v>
      </c>
    </row>
    <row r="35" spans="1:4">
      <c r="A35" s="38" t="s">
        <v>34</v>
      </c>
      <c r="B35" t="s">
        <v>72</v>
      </c>
      <c r="C35" s="81">
        <f>Servente!G6</f>
        <v>0.03</v>
      </c>
      <c r="D35" s="70">
        <f>C35*(Módulo13[[#Totals],[Valor]]+Submódulo2.14[[#Totals],[Valor]])</f>
        <v>33.4293333333333</v>
      </c>
    </row>
    <row r="36" spans="1:4">
      <c r="A36" s="38" t="s">
        <v>36</v>
      </c>
      <c r="B36" t="s">
        <v>73</v>
      </c>
      <c r="C36" s="81">
        <v>0.015</v>
      </c>
      <c r="D36" s="70">
        <f>C36*(Módulo13[[#Totals],[Valor]]+Submódulo2.14[[#Totals],[Valor]])</f>
        <v>16.7146666666667</v>
      </c>
    </row>
    <row r="37" spans="1:4">
      <c r="A37" s="38" t="s">
        <v>39</v>
      </c>
      <c r="B37" t="s">
        <v>74</v>
      </c>
      <c r="C37" s="81">
        <v>0.01</v>
      </c>
      <c r="D37" s="70">
        <f>C37*(Módulo13[[#Totals],[Valor]]+Submódulo2.14[[#Totals],[Valor]])</f>
        <v>11.1431111111111</v>
      </c>
    </row>
    <row r="38" spans="1:4">
      <c r="A38" s="38" t="s">
        <v>41</v>
      </c>
      <c r="B38" t="s">
        <v>75</v>
      </c>
      <c r="C38" s="81">
        <v>0.006</v>
      </c>
      <c r="D38" s="70">
        <f>C38*(Módulo13[[#Totals],[Valor]]+Submódulo2.14[[#Totals],[Valor]])</f>
        <v>6.68586666666667</v>
      </c>
    </row>
    <row r="39" spans="1:4">
      <c r="A39" s="38" t="s">
        <v>76</v>
      </c>
      <c r="B39" t="s">
        <v>77</v>
      </c>
      <c r="C39" s="81">
        <v>0.002</v>
      </c>
      <c r="D39" s="70">
        <f>C39*(Módulo13[[#Totals],[Valor]]+Submódulo2.14[[#Totals],[Valor]])</f>
        <v>2.22862222222222</v>
      </c>
    </row>
    <row r="40" spans="1:4">
      <c r="A40" s="38" t="s">
        <v>78</v>
      </c>
      <c r="B40" t="s">
        <v>79</v>
      </c>
      <c r="C40" s="81">
        <v>0.08</v>
      </c>
      <c r="D40" s="70">
        <f>C40*(Módulo13[[#Totals],[Valor]]+Submódulo2.14[[#Totals],[Valor]])</f>
        <v>89.1448888888889</v>
      </c>
    </row>
    <row r="41" spans="1:4">
      <c r="A41" s="38" t="s">
        <v>44</v>
      </c>
      <c r="C41" s="84">
        <v>0.368</v>
      </c>
      <c r="D41" s="70">
        <f>SUBTOTAL(109,Submódulo2.26[Valor ])</f>
        <v>410.066488888889</v>
      </c>
    </row>
    <row r="42" spans="1:4">
      <c r="A42" s="38"/>
      <c r="C42" s="84"/>
      <c r="D42" s="70"/>
    </row>
    <row r="43" spans="1:4">
      <c r="A43" s="112" t="s">
        <v>80</v>
      </c>
      <c r="B43" s="112"/>
      <c r="C43" s="112"/>
      <c r="D43" s="112"/>
    </row>
    <row r="44" spans="1:4">
      <c r="A44" s="112" t="s">
        <v>2</v>
      </c>
      <c r="B44" s="112" t="s">
        <v>59</v>
      </c>
      <c r="C44" s="112" t="s">
        <v>60</v>
      </c>
      <c r="D44" s="113" t="s">
        <v>61</v>
      </c>
    </row>
    <row r="45" ht="30" spans="1:4">
      <c r="A45" s="114" t="s">
        <v>81</v>
      </c>
      <c r="B45" s="115" t="s">
        <v>68</v>
      </c>
      <c r="C45" s="115" t="s">
        <v>82</v>
      </c>
      <c r="D45" s="115" t="s">
        <v>83</v>
      </c>
    </row>
    <row r="47" spans="1:4">
      <c r="A47" s="57" t="s">
        <v>84</v>
      </c>
      <c r="B47" s="57"/>
      <c r="C47" s="57"/>
      <c r="D47" s="57"/>
    </row>
    <row r="48" spans="1:4">
      <c r="A48" s="38" t="s">
        <v>85</v>
      </c>
      <c r="B48" t="s">
        <v>86</v>
      </c>
      <c r="C48" s="38" t="s">
        <v>4</v>
      </c>
      <c r="D48" s="38" t="s">
        <v>5</v>
      </c>
    </row>
    <row r="49" spans="1:4">
      <c r="A49" s="38" t="s">
        <v>28</v>
      </c>
      <c r="B49" t="s">
        <v>87</v>
      </c>
      <c r="D49" s="70">
        <v>107.0272</v>
      </c>
    </row>
    <row r="50" spans="1:4">
      <c r="A50" s="38" t="s">
        <v>31</v>
      </c>
      <c r="B50" t="s">
        <v>88</v>
      </c>
      <c r="D50" s="70">
        <f>(Servente!G4*Servente!G5)*80%</f>
        <v>246.4</v>
      </c>
    </row>
    <row r="51" spans="1:4">
      <c r="A51" s="38" t="s">
        <v>34</v>
      </c>
      <c r="B51" t="s">
        <v>89</v>
      </c>
      <c r="D51" s="70"/>
    </row>
    <row r="52" spans="1:4">
      <c r="A52" s="38" t="s">
        <v>36</v>
      </c>
      <c r="B52" t="s">
        <v>90</v>
      </c>
      <c r="C52" t="s">
        <v>91</v>
      </c>
      <c r="D52" s="70">
        <v>4</v>
      </c>
    </row>
    <row r="53" spans="1:4">
      <c r="A53" s="38" t="s">
        <v>39</v>
      </c>
      <c r="B53" t="s">
        <v>92</v>
      </c>
      <c r="C53" t="s">
        <v>93</v>
      </c>
      <c r="D53" s="70">
        <v>15</v>
      </c>
    </row>
    <row r="54" spans="1:4">
      <c r="A54" s="38" t="s">
        <v>44</v>
      </c>
      <c r="D54" s="70">
        <v>372.4272</v>
      </c>
    </row>
    <row r="55" spans="1:4">
      <c r="A55" s="38"/>
      <c r="D55" s="70"/>
    </row>
    <row r="56" spans="1:4">
      <c r="A56" s="112" t="s">
        <v>94</v>
      </c>
      <c r="B56" s="112"/>
      <c r="C56" s="112"/>
      <c r="D56" s="112"/>
    </row>
    <row r="57" spans="1:4">
      <c r="A57" s="112" t="s">
        <v>2</v>
      </c>
      <c r="B57" s="112" t="s">
        <v>59</v>
      </c>
      <c r="C57" s="112" t="s">
        <v>60</v>
      </c>
      <c r="D57" s="112" t="s">
        <v>61</v>
      </c>
    </row>
    <row r="58" ht="45" spans="1:4">
      <c r="A58" s="114" t="s">
        <v>28</v>
      </c>
      <c r="B58" s="115" t="s">
        <v>87</v>
      </c>
      <c r="C58" s="39" t="s">
        <v>95</v>
      </c>
      <c r="D58" s="39" t="s">
        <v>96</v>
      </c>
    </row>
    <row r="59" ht="30" spans="1:4">
      <c r="A59" s="114" t="s">
        <v>31</v>
      </c>
      <c r="B59" s="116" t="s">
        <v>88</v>
      </c>
      <c r="C59" s="39" t="s">
        <v>95</v>
      </c>
      <c r="D59" s="39" t="s">
        <v>97</v>
      </c>
    </row>
    <row r="60" ht="19.5" customHeight="1" spans="1:4">
      <c r="A60" s="38"/>
      <c r="D60" s="70"/>
    </row>
    <row r="61" spans="1:4">
      <c r="A61" s="57" t="s">
        <v>98</v>
      </c>
      <c r="B61" s="57"/>
      <c r="C61" s="57"/>
      <c r="D61" s="57"/>
    </row>
    <row r="62" spans="1:4">
      <c r="A62" s="38" t="s">
        <v>99</v>
      </c>
      <c r="B62" t="s">
        <v>100</v>
      </c>
      <c r="C62" s="38" t="s">
        <v>4</v>
      </c>
      <c r="D62" s="38" t="s">
        <v>5</v>
      </c>
    </row>
    <row r="63" spans="1:4">
      <c r="A63" s="38" t="s">
        <v>51</v>
      </c>
      <c r="B63" t="s">
        <v>52</v>
      </c>
      <c r="C63" s="38"/>
      <c r="D63" s="70">
        <f>Submódulo2.14[[#Totals],[Valor]]</f>
        <v>111.431111111111</v>
      </c>
    </row>
    <row r="64" spans="1:4">
      <c r="A64" s="38" t="s">
        <v>67</v>
      </c>
      <c r="B64" t="s">
        <v>68</v>
      </c>
      <c r="C64" s="38"/>
      <c r="D64" s="70">
        <f>Submódulo2.26[[#Totals],[Valor ]]</f>
        <v>410.066488888889</v>
      </c>
    </row>
    <row r="65" spans="1:4">
      <c r="A65" s="38" t="s">
        <v>85</v>
      </c>
      <c r="B65" t="s">
        <v>86</v>
      </c>
      <c r="C65" s="38"/>
      <c r="D65" s="70">
        <f>Submódulo2.38[[#Totals],[Valor]]</f>
        <v>372.4272</v>
      </c>
    </row>
    <row r="66" spans="1:4">
      <c r="A66" s="38" t="s">
        <v>44</v>
      </c>
      <c r="C66" s="38"/>
      <c r="D66" s="70">
        <f>SUBTOTAL(109,ResumoMódulo29[Valor])</f>
        <v>893.9248</v>
      </c>
    </row>
    <row r="68" spans="1:4">
      <c r="A68" s="65" t="s">
        <v>101</v>
      </c>
      <c r="B68" s="65"/>
      <c r="C68" s="65"/>
      <c r="D68" s="65"/>
    </row>
    <row r="69" spans="1:4">
      <c r="A69" s="38" t="s">
        <v>102</v>
      </c>
      <c r="B69" t="s">
        <v>103</v>
      </c>
      <c r="C69" s="38" t="s">
        <v>4</v>
      </c>
      <c r="D69" s="38" t="s">
        <v>5</v>
      </c>
    </row>
    <row r="70" spans="1:4">
      <c r="A70" s="38" t="s">
        <v>28</v>
      </c>
      <c r="B70" t="s">
        <v>104</v>
      </c>
      <c r="D70" s="70">
        <f>((Módulo13[[#Totals],[Valor]]+D63+D65)/12)*G10</f>
        <v>53.7332004607407</v>
      </c>
    </row>
    <row r="71" spans="1:4">
      <c r="A71" s="38" t="s">
        <v>31</v>
      </c>
      <c r="B71" t="s">
        <v>105</v>
      </c>
      <c r="D71" s="70">
        <f>(D40/12)*Servente!G10</f>
        <v>3.22184485925926</v>
      </c>
    </row>
    <row r="72" spans="1:4">
      <c r="A72" s="38" t="s">
        <v>34</v>
      </c>
      <c r="B72" t="s">
        <v>106</v>
      </c>
      <c r="D72" s="70">
        <f>D40*50%*Servente!G10</f>
        <v>19.3310691555556</v>
      </c>
    </row>
    <row r="73" spans="1:4">
      <c r="A73" s="38" t="s">
        <v>36</v>
      </c>
      <c r="B73" t="s">
        <v>107</v>
      </c>
      <c r="D73" s="70">
        <f>((Módulo13[[#Totals],[Valor]]+ResumoMódulo29[[#Totals],[Valor]])/12)*G11</f>
        <v>68.5536868133333</v>
      </c>
    </row>
    <row r="74" spans="1:4">
      <c r="A74" s="38" t="s">
        <v>39</v>
      </c>
      <c r="B74" t="s">
        <v>108</v>
      </c>
      <c r="D74" s="70">
        <f>D40*50%*Servente!G11</f>
        <v>19.3310691555556</v>
      </c>
    </row>
    <row r="75" spans="1:4">
      <c r="A75" s="38" t="s">
        <v>41</v>
      </c>
      <c r="B75" t="s">
        <v>109</v>
      </c>
      <c r="D75" s="70">
        <f>-D63*Servente!G12</f>
        <v>-2.42919822222222</v>
      </c>
    </row>
    <row r="76" spans="1:4">
      <c r="A76" s="38" t="s">
        <v>44</v>
      </c>
      <c r="D76" s="70">
        <f>SUBTOTAL(109,Módulo324[Valor])</f>
        <v>161.741672222222</v>
      </c>
    </row>
    <row r="77" spans="1:4">
      <c r="A77" s="38"/>
      <c r="D77" s="70"/>
    </row>
    <row r="78" spans="1:4">
      <c r="A78" s="112" t="s">
        <v>110</v>
      </c>
      <c r="B78" s="112"/>
      <c r="C78" s="112"/>
      <c r="D78" s="112"/>
    </row>
    <row r="79" spans="1:4">
      <c r="A79" s="112" t="s">
        <v>2</v>
      </c>
      <c r="B79" s="112" t="s">
        <v>59</v>
      </c>
      <c r="C79" s="112" t="s">
        <v>60</v>
      </c>
      <c r="D79" s="112" t="s">
        <v>61</v>
      </c>
    </row>
    <row r="80" ht="60" spans="1:4">
      <c r="A80" s="114" t="s">
        <v>28</v>
      </c>
      <c r="B80" s="115" t="s">
        <v>104</v>
      </c>
      <c r="C80" s="39" t="s">
        <v>111</v>
      </c>
      <c r="D80" s="39" t="s">
        <v>112</v>
      </c>
    </row>
    <row r="81" ht="60" spans="1:4">
      <c r="A81" s="114" t="s">
        <v>31</v>
      </c>
      <c r="B81" s="116" t="s">
        <v>105</v>
      </c>
      <c r="C81" s="39" t="s">
        <v>113</v>
      </c>
      <c r="D81" s="39" t="s">
        <v>112</v>
      </c>
    </row>
    <row r="82" ht="75" spans="1:4">
      <c r="A82" s="114" t="s">
        <v>34</v>
      </c>
      <c r="B82" s="116" t="s">
        <v>106</v>
      </c>
      <c r="C82" s="39" t="s">
        <v>113</v>
      </c>
      <c r="D82" s="117" t="s">
        <v>114</v>
      </c>
    </row>
    <row r="83" ht="60" spans="1:4">
      <c r="A83" s="114" t="s">
        <v>36</v>
      </c>
      <c r="B83" s="118" t="s">
        <v>107</v>
      </c>
      <c r="C83" s="39" t="s">
        <v>115</v>
      </c>
      <c r="D83" s="117" t="s">
        <v>116</v>
      </c>
    </row>
    <row r="84" ht="75" spans="1:4">
      <c r="A84" s="114" t="s">
        <v>39</v>
      </c>
      <c r="B84" s="118" t="s">
        <v>108</v>
      </c>
      <c r="C84" s="39" t="s">
        <v>113</v>
      </c>
      <c r="D84" s="117" t="s">
        <v>117</v>
      </c>
    </row>
    <row r="85" ht="60" spans="1:4">
      <c r="A85" s="114" t="s">
        <v>41</v>
      </c>
      <c r="B85" s="118" t="s">
        <v>109</v>
      </c>
      <c r="C85" s="39" t="s">
        <v>118</v>
      </c>
      <c r="D85" s="117" t="s">
        <v>119</v>
      </c>
    </row>
    <row r="87" spans="1:4">
      <c r="A87" s="89" t="s">
        <v>120</v>
      </c>
      <c r="B87" s="71"/>
      <c r="C87" s="71"/>
      <c r="D87" s="71"/>
    </row>
    <row r="88" spans="1:4">
      <c r="A88" s="90" t="s">
        <v>121</v>
      </c>
      <c r="B88" s="90"/>
      <c r="C88" s="90"/>
      <c r="D88" s="90"/>
    </row>
    <row r="89" spans="1:4">
      <c r="A89" s="38" t="s">
        <v>122</v>
      </c>
      <c r="B89" t="s">
        <v>123</v>
      </c>
      <c r="C89" s="38" t="s">
        <v>124</v>
      </c>
      <c r="D89" s="38" t="s">
        <v>5</v>
      </c>
    </row>
    <row r="90" spans="1:5">
      <c r="A90" s="38" t="s">
        <v>28</v>
      </c>
      <c r="B90" t="s">
        <v>125</v>
      </c>
      <c r="C90" s="38">
        <v>30</v>
      </c>
      <c r="D90" s="70">
        <f t="shared" ref="D90:D95" si="0">(C90*G$24)/12</f>
        <v>136.558826666667</v>
      </c>
      <c r="E90" s="73"/>
    </row>
    <row r="91" spans="1:5">
      <c r="A91" s="38" t="s">
        <v>31</v>
      </c>
      <c r="B91" t="s">
        <v>126</v>
      </c>
      <c r="C91" s="38">
        <v>1.4181</v>
      </c>
      <c r="D91" s="70">
        <f t="shared" si="0"/>
        <v>6.45513573653333</v>
      </c>
      <c r="E91" s="73"/>
    </row>
    <row r="92" spans="1:5">
      <c r="A92" s="38" t="s">
        <v>34</v>
      </c>
      <c r="B92" t="s">
        <v>127</v>
      </c>
      <c r="C92" s="38">
        <v>0.1898</v>
      </c>
      <c r="D92" s="70">
        <f t="shared" si="0"/>
        <v>0.863962176711111</v>
      </c>
      <c r="E92" s="73"/>
    </row>
    <row r="93" spans="1:5">
      <c r="A93" s="38" t="s">
        <v>36</v>
      </c>
      <c r="B93" t="s">
        <v>128</v>
      </c>
      <c r="C93" s="38">
        <v>0.9545</v>
      </c>
      <c r="D93" s="70">
        <f t="shared" si="0"/>
        <v>4.34484666844444</v>
      </c>
      <c r="E93" s="73"/>
    </row>
    <row r="94" spans="1:5">
      <c r="A94" s="38" t="s">
        <v>39</v>
      </c>
      <c r="B94" t="s">
        <v>129</v>
      </c>
      <c r="C94" s="38">
        <v>2.4723</v>
      </c>
      <c r="D94" s="70">
        <f>(C94*G$25)/12</f>
        <v>1.0468663168</v>
      </c>
      <c r="E94" s="73"/>
    </row>
    <row r="95" spans="1:5">
      <c r="A95" s="38" t="s">
        <v>41</v>
      </c>
      <c r="B95" t="s">
        <v>130</v>
      </c>
      <c r="C95" s="38">
        <v>3.4521</v>
      </c>
      <c r="D95" s="70">
        <f t="shared" si="0"/>
        <v>15.7138241845333</v>
      </c>
      <c r="E95" s="73"/>
    </row>
    <row r="96" spans="1:4">
      <c r="A96" s="38" t="s">
        <v>44</v>
      </c>
      <c r="C96" s="38">
        <f>SUBTOTAL(109,Submódulo4.125[Dias de ausência])</f>
        <v>38.4868</v>
      </c>
      <c r="D96" s="70">
        <f>SUBTOTAL(109,Submódulo4.125[Valor])</f>
        <v>164.983461749689</v>
      </c>
    </row>
    <row r="97" spans="1:4">
      <c r="A97" s="38"/>
      <c r="C97" s="38"/>
      <c r="D97" s="70"/>
    </row>
    <row r="98" spans="1:4">
      <c r="A98" s="112" t="s">
        <v>131</v>
      </c>
      <c r="B98" s="112"/>
      <c r="C98" s="112"/>
      <c r="D98" s="112"/>
    </row>
    <row r="99" spans="1:4">
      <c r="A99" s="112" t="s">
        <v>2</v>
      </c>
      <c r="B99" s="112" t="s">
        <v>59</v>
      </c>
      <c r="C99" s="112" t="s">
        <v>60</v>
      </c>
      <c r="D99" s="112" t="s">
        <v>61</v>
      </c>
    </row>
    <row r="100" spans="1:4">
      <c r="A100" s="114" t="s">
        <v>132</v>
      </c>
      <c r="B100" s="115" t="s">
        <v>133</v>
      </c>
      <c r="C100" s="39"/>
      <c r="D100" s="39"/>
    </row>
    <row r="101" ht="60" spans="1:4">
      <c r="A101" s="114" t="s">
        <v>134</v>
      </c>
      <c r="B101" s="116" t="s">
        <v>135</v>
      </c>
      <c r="C101" s="39" t="s">
        <v>136</v>
      </c>
      <c r="D101" s="39" t="s">
        <v>137</v>
      </c>
    </row>
    <row r="102" ht="60" spans="1:4">
      <c r="A102" s="114" t="s">
        <v>39</v>
      </c>
      <c r="B102" s="116" t="s">
        <v>138</v>
      </c>
      <c r="C102" s="39" t="s">
        <v>139</v>
      </c>
      <c r="D102" s="39" t="s">
        <v>137</v>
      </c>
    </row>
    <row r="103" spans="1:4">
      <c r="A103" s="38"/>
      <c r="C103" s="38"/>
      <c r="D103" s="70"/>
    </row>
    <row r="104" spans="1:4">
      <c r="A104" s="57" t="s">
        <v>140</v>
      </c>
      <c r="B104" s="57"/>
      <c r="C104" s="57"/>
      <c r="D104" s="57"/>
    </row>
    <row r="105" spans="1:4">
      <c r="A105" s="38" t="s">
        <v>141</v>
      </c>
      <c r="B105" t="s">
        <v>142</v>
      </c>
      <c r="C105" s="38" t="s">
        <v>4</v>
      </c>
      <c r="D105" s="38" t="s">
        <v>5</v>
      </c>
    </row>
    <row r="106" spans="1:4">
      <c r="A106" s="38" t="s">
        <v>28</v>
      </c>
      <c r="B106" t="s">
        <v>143</v>
      </c>
      <c r="C106" s="38"/>
      <c r="D106" s="70"/>
    </row>
    <row r="107" spans="1:4">
      <c r="A107" s="38" t="s">
        <v>44</v>
      </c>
      <c r="C107" s="38"/>
      <c r="D107" s="70">
        <f>SUBTOTAL(109,Submódulo4.226[Valor])</f>
        <v>0</v>
      </c>
    </row>
    <row r="109" spans="1:4">
      <c r="A109" s="90" t="s">
        <v>144</v>
      </c>
      <c r="B109" s="90"/>
      <c r="C109" s="90"/>
      <c r="D109" s="90"/>
    </row>
    <row r="110" spans="1:4">
      <c r="A110" s="38" t="s">
        <v>145</v>
      </c>
      <c r="B110" t="s">
        <v>146</v>
      </c>
      <c r="C110" s="38" t="s">
        <v>4</v>
      </c>
      <c r="D110" s="38" t="s">
        <v>5</v>
      </c>
    </row>
    <row r="111" spans="1:4">
      <c r="A111" s="38" t="s">
        <v>122</v>
      </c>
      <c r="B111" t="s">
        <v>123</v>
      </c>
      <c r="D111" s="70">
        <f>Submódulo4.125[[#Totals],[Valor]]</f>
        <v>164.983461749689</v>
      </c>
    </row>
    <row r="112" spans="1:4">
      <c r="A112" s="38" t="s">
        <v>141</v>
      </c>
      <c r="B112" t="s">
        <v>147</v>
      </c>
      <c r="D112" s="70">
        <f>Submódulo4.226[[#Totals],[Valor]]</f>
        <v>0</v>
      </c>
    </row>
    <row r="113" spans="1:4">
      <c r="A113" s="38" t="s">
        <v>44</v>
      </c>
      <c r="D113" s="70">
        <f>SUBTOTAL(109,ResumoMódulo427[Valor])</f>
        <v>164.983461749689</v>
      </c>
    </row>
    <row r="115" spans="1:4">
      <c r="A115" s="65" t="s">
        <v>148</v>
      </c>
      <c r="B115" s="65"/>
      <c r="C115" s="65"/>
      <c r="D115" s="65"/>
    </row>
    <row r="116" spans="1:4">
      <c r="A116" s="38" t="s">
        <v>149</v>
      </c>
      <c r="B116" t="s">
        <v>150</v>
      </c>
      <c r="C116" s="38" t="s">
        <v>4</v>
      </c>
      <c r="D116" s="38" t="s">
        <v>5</v>
      </c>
    </row>
    <row r="117" spans="1:4">
      <c r="A117" s="38" t="s">
        <v>28</v>
      </c>
      <c r="B117" t="s">
        <v>151</v>
      </c>
      <c r="D117" s="70" t="e">
        <f>#REF!</f>
        <v>#REF!</v>
      </c>
    </row>
    <row r="118" spans="1:4">
      <c r="A118" s="38" t="s">
        <v>31</v>
      </c>
      <c r="B118" t="s">
        <v>152</v>
      </c>
      <c r="D118" s="70" t="e">
        <f>Table46[[#Totals],[VALOR TOTAL  (R$)]]/#REF!</f>
        <v>#REF!</v>
      </c>
    </row>
    <row r="119" spans="1:4">
      <c r="A119" s="38" t="s">
        <v>34</v>
      </c>
      <c r="B119" t="s">
        <v>153</v>
      </c>
      <c r="D119" s="70" t="e">
        <f>#REF!/#REF!</f>
        <v>#REF!</v>
      </c>
    </row>
    <row r="120" spans="1:4">
      <c r="A120" s="38" t="s">
        <v>36</v>
      </c>
      <c r="B120" t="s">
        <v>154</v>
      </c>
      <c r="D120" s="70" t="e">
        <f>#REF!</f>
        <v>#REF!</v>
      </c>
    </row>
    <row r="121" spans="1:4">
      <c r="A121" s="38" t="s">
        <v>44</v>
      </c>
      <c r="D121" s="70" t="e">
        <f>SUBTOTAL(109,Módulo528[Valor])</f>
        <v>#REF!</v>
      </c>
    </row>
    <row r="122" spans="1:4">
      <c r="A122" s="38"/>
      <c r="D122" s="70"/>
    </row>
    <row r="123" spans="1:4">
      <c r="A123" s="112" t="s">
        <v>155</v>
      </c>
      <c r="B123" s="112"/>
      <c r="C123" s="112"/>
      <c r="D123" s="112"/>
    </row>
    <row r="124" spans="1:4">
      <c r="A124" s="112" t="s">
        <v>2</v>
      </c>
      <c r="B124" s="112" t="s">
        <v>59</v>
      </c>
      <c r="C124" s="112" t="s">
        <v>60</v>
      </c>
      <c r="D124" s="112" t="s">
        <v>61</v>
      </c>
    </row>
    <row r="125" spans="1:4">
      <c r="A125" s="114" t="s">
        <v>28</v>
      </c>
      <c r="B125" s="115" t="s">
        <v>151</v>
      </c>
      <c r="C125" s="39" t="s">
        <v>156</v>
      </c>
      <c r="D125" s="39"/>
    </row>
    <row r="126" ht="30" spans="1:4">
      <c r="A126" s="114" t="s">
        <v>31</v>
      </c>
      <c r="B126" s="116" t="s">
        <v>152</v>
      </c>
      <c r="C126" s="39" t="s">
        <v>157</v>
      </c>
      <c r="D126" s="39" t="s">
        <v>158</v>
      </c>
    </row>
    <row r="127" ht="30" spans="1:4">
      <c r="A127" s="114" t="s">
        <v>34</v>
      </c>
      <c r="B127" s="116" t="s">
        <v>153</v>
      </c>
      <c r="C127" s="39" t="s">
        <v>159</v>
      </c>
      <c r="D127" s="39" t="s">
        <v>158</v>
      </c>
    </row>
    <row r="128" spans="1:4">
      <c r="A128" s="114" t="s">
        <v>36</v>
      </c>
      <c r="B128" s="116" t="s">
        <v>154</v>
      </c>
      <c r="C128" s="39"/>
      <c r="D128" s="39"/>
    </row>
    <row r="130" spans="1:4">
      <c r="A130" s="65" t="s">
        <v>160</v>
      </c>
      <c r="B130" s="65"/>
      <c r="C130" s="65"/>
      <c r="D130" s="65"/>
    </row>
    <row r="131" outlineLevel="1" spans="1:4">
      <c r="A131" s="38" t="s">
        <v>161</v>
      </c>
      <c r="B131" t="s">
        <v>162</v>
      </c>
      <c r="C131" s="38" t="s">
        <v>24</v>
      </c>
      <c r="D131" s="38" t="s">
        <v>5</v>
      </c>
    </row>
    <row r="132" outlineLevel="1" spans="1:4">
      <c r="A132" s="38" t="s">
        <v>28</v>
      </c>
      <c r="B132" t="s">
        <v>163</v>
      </c>
      <c r="C132" s="81">
        <f>G16</f>
        <v>0.03</v>
      </c>
      <c r="D132" s="70" t="e">
        <f>Módulo629[[#This Row],[Percentual]]*(D143+D144+D145+D146+D147)</f>
        <v>#REF!</v>
      </c>
    </row>
    <row r="133" outlineLevel="1" spans="1:4">
      <c r="A133" s="38" t="s">
        <v>31</v>
      </c>
      <c r="B133" t="s">
        <v>45</v>
      </c>
      <c r="C133" s="81">
        <f>G17</f>
        <v>0.0679</v>
      </c>
      <c r="D133" s="70" t="e">
        <f>(SUM(D143:D147)+D132)*Módulo629[[#This Row],[Percentual]]</f>
        <v>#REF!</v>
      </c>
    </row>
    <row r="134" spans="1:4">
      <c r="A134" s="38" t="s">
        <v>34</v>
      </c>
      <c r="B134" t="s">
        <v>164</v>
      </c>
      <c r="C134" s="81">
        <f>SUM(C135:C137)</f>
        <v>0.1425</v>
      </c>
      <c r="D134" s="70" t="e">
        <f>Módulo629[[#This Row],[Percentual]]*D150</f>
        <v>#REF!</v>
      </c>
    </row>
    <row r="135" spans="1:4">
      <c r="A135" s="38" t="s">
        <v>165</v>
      </c>
      <c r="B135" t="s">
        <v>46</v>
      </c>
      <c r="C135" s="81">
        <f>G18</f>
        <v>0.0165</v>
      </c>
      <c r="D135" s="70" t="e">
        <f>Módulo629[[#This Row],[Percentual]]*D150</f>
        <v>#REF!</v>
      </c>
    </row>
    <row r="136" spans="1:4">
      <c r="A136" s="38" t="s">
        <v>166</v>
      </c>
      <c r="B136" t="s">
        <v>48</v>
      </c>
      <c r="C136" s="81">
        <f>G19</f>
        <v>0.076</v>
      </c>
      <c r="D136" s="70" t="e">
        <f>Módulo629[[#This Row],[Percentual]]*D150</f>
        <v>#REF!</v>
      </c>
    </row>
    <row r="137" spans="1:4">
      <c r="A137" s="38" t="s">
        <v>167</v>
      </c>
      <c r="B137" t="s">
        <v>50</v>
      </c>
      <c r="C137" s="81">
        <f>G20</f>
        <v>0.05</v>
      </c>
      <c r="D137" s="70" t="e">
        <f>Módulo629[[#This Row],[Percentual]]*D150</f>
        <v>#REF!</v>
      </c>
    </row>
    <row r="138" spans="1:4">
      <c r="A138" s="38" t="s">
        <v>44</v>
      </c>
      <c r="C138" s="101"/>
      <c r="D138" s="70" t="e">
        <f>SUM(D132:D134)</f>
        <v>#REF!</v>
      </c>
    </row>
    <row r="139" spans="1:4">
      <c r="A139" s="38"/>
      <c r="C139" s="101"/>
      <c r="D139" s="70"/>
    </row>
    <row r="141" spans="1:4">
      <c r="A141" s="65" t="s">
        <v>168</v>
      </c>
      <c r="B141" s="65"/>
      <c r="C141" s="65"/>
      <c r="D141" s="65"/>
    </row>
    <row r="142" spans="1:4">
      <c r="A142" s="38" t="s">
        <v>2</v>
      </c>
      <c r="B142" s="38" t="s">
        <v>169</v>
      </c>
      <c r="C142" s="38" t="s">
        <v>95</v>
      </c>
      <c r="D142" s="38" t="s">
        <v>5</v>
      </c>
    </row>
    <row r="143" spans="1:4">
      <c r="A143" s="38" t="s">
        <v>28</v>
      </c>
      <c r="B143" t="s">
        <v>22</v>
      </c>
      <c r="D143" s="70">
        <f>Módulo13[[#Totals],[Valor]]</f>
        <v>1002.88</v>
      </c>
    </row>
    <row r="144" spans="1:4">
      <c r="A144" s="38" t="s">
        <v>31</v>
      </c>
      <c r="B144" t="s">
        <v>47</v>
      </c>
      <c r="D144" s="70">
        <f>ResumoMódulo29[[#Totals],[Valor]]</f>
        <v>893.9248</v>
      </c>
    </row>
    <row r="145" spans="1:4">
      <c r="A145" s="38" t="s">
        <v>34</v>
      </c>
      <c r="B145" t="s">
        <v>101</v>
      </c>
      <c r="D145" s="70">
        <f>Módulo324[[#Totals],[Valor]]</f>
        <v>161.741672222222</v>
      </c>
    </row>
    <row r="146" spans="1:4">
      <c r="A146" s="38" t="s">
        <v>36</v>
      </c>
      <c r="B146" t="s">
        <v>170</v>
      </c>
      <c r="D146" s="70">
        <f>ResumoMódulo427[[#Totals],[Valor]]</f>
        <v>164.983461749689</v>
      </c>
    </row>
    <row r="147" spans="1:4">
      <c r="A147" s="38" t="s">
        <v>39</v>
      </c>
      <c r="B147" t="s">
        <v>148</v>
      </c>
      <c r="D147" s="70" t="e">
        <f>Módulo528[[#Totals],[Valor]]</f>
        <v>#REF!</v>
      </c>
    </row>
    <row r="148" spans="1:4">
      <c r="A148" t="s">
        <v>171</v>
      </c>
      <c r="D148" s="70" t="e">
        <f>SUM(D143:D147)</f>
        <v>#REF!</v>
      </c>
    </row>
    <row r="149" spans="1:4">
      <c r="A149" s="38" t="s">
        <v>41</v>
      </c>
      <c r="B149" t="s">
        <v>160</v>
      </c>
      <c r="D149" s="70" t="e">
        <f>Módulo629[[#Totals],[Valor]]</f>
        <v>#REF!</v>
      </c>
    </row>
    <row r="150" spans="1:4">
      <c r="A150" s="50" t="s">
        <v>172</v>
      </c>
      <c r="B150" s="50"/>
      <c r="C150" s="50"/>
      <c r="D150" s="119" t="e">
        <f>(SUM(D143:D147)+D132+D133)/(100%-C134)</f>
        <v>#REF!</v>
      </c>
    </row>
  </sheetData>
  <mergeCells count="25">
    <mergeCell ref="A1:D1"/>
    <mergeCell ref="F1:G1"/>
    <mergeCell ref="F8:G8"/>
    <mergeCell ref="A9:D9"/>
    <mergeCell ref="F14:G14"/>
    <mergeCell ref="A19:D19"/>
    <mergeCell ref="A20:D20"/>
    <mergeCell ref="F22:G22"/>
    <mergeCell ref="A26:D26"/>
    <mergeCell ref="A31:D31"/>
    <mergeCell ref="A43:D43"/>
    <mergeCell ref="A47:D47"/>
    <mergeCell ref="A56:D56"/>
    <mergeCell ref="A61:D61"/>
    <mergeCell ref="A68:D68"/>
    <mergeCell ref="A78:D78"/>
    <mergeCell ref="A87:D87"/>
    <mergeCell ref="A88:D88"/>
    <mergeCell ref="A98:D98"/>
    <mergeCell ref="A104:D104"/>
    <mergeCell ref="A109:D109"/>
    <mergeCell ref="A115:D115"/>
    <mergeCell ref="A123:D123"/>
    <mergeCell ref="A130:D130"/>
    <mergeCell ref="A141:D141"/>
  </mergeCells>
  <pageMargins left="0.7" right="0.7" top="0.75" bottom="0.75" header="0.3" footer="0.3"/>
  <pageSetup paperSize="9" orientation="portrait"/>
  <headerFooter/>
  <legacyDrawing r:id="rId2"/>
  <tableParts count="23">
    <tablePart r:id="rId3"/>
    <tablePart r:id="rId4"/>
    <tablePart r:id="rId5"/>
    <tablePart r:id="rId6"/>
    <tablePart r:id="rId7"/>
    <tablePart r:id="rId8"/>
    <tablePart r:id="rId9"/>
    <tablePart r:id="rId10"/>
    <tablePart r:id="rId11"/>
    <tablePart r:id="rId12"/>
    <tablePart r:id="rId13"/>
    <tablePart r:id="rId14"/>
    <tablePart r:id="rId15"/>
    <tablePart r:id="rId16"/>
    <tablePart r:id="rId17"/>
    <tablePart r:id="rId18"/>
    <tablePart r:id="rId19"/>
    <tablePart r:id="rId20"/>
    <tablePart r:id="rId21"/>
    <tablePart r:id="rId22"/>
    <tablePart r:id="rId23"/>
    <tablePart r:id="rId24"/>
    <tablePart r:id="rId25"/>
  </tablePart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U150"/>
  <sheetViews>
    <sheetView showGridLines="0" zoomScale="85" zoomScaleNormal="85" topLeftCell="D125" workbookViewId="0">
      <selection activeCell="D118" sqref="D118"/>
    </sheetView>
  </sheetViews>
  <sheetFormatPr defaultColWidth="9" defaultRowHeight="15"/>
  <cols>
    <col min="1" max="1" width="12.4285714285714" customWidth="1"/>
    <col min="2" max="2" width="76.4285714285714" customWidth="1"/>
    <col min="3" max="3" width="28.4285714285714" customWidth="1"/>
    <col min="4" max="4" width="27.4285714285714" customWidth="1"/>
    <col min="6" max="6" width="32.7142857142857" customWidth="1"/>
    <col min="7" max="7" width="13" customWidth="1"/>
  </cols>
  <sheetData>
    <row r="1" spans="1:21">
      <c r="A1" s="56" t="s">
        <v>0</v>
      </c>
      <c r="B1" s="56"/>
      <c r="C1" s="56"/>
      <c r="D1" s="56"/>
      <c r="F1" s="57" t="s">
        <v>1</v>
      </c>
      <c r="G1" s="57"/>
      <c r="H1" s="77"/>
      <c r="I1" s="77"/>
      <c r="J1" s="77"/>
      <c r="K1" s="77"/>
      <c r="L1" s="77"/>
      <c r="M1" s="77"/>
      <c r="N1" s="77"/>
      <c r="O1" s="77"/>
      <c r="P1" s="77"/>
      <c r="Q1" s="77"/>
      <c r="R1" s="77"/>
      <c r="S1" s="77"/>
      <c r="T1" s="77"/>
      <c r="U1" s="77"/>
    </row>
    <row r="2" spans="1:21">
      <c r="A2" s="38" t="s">
        <v>2</v>
      </c>
      <c r="B2" t="s">
        <v>3</v>
      </c>
      <c r="C2" s="38" t="s">
        <v>4</v>
      </c>
      <c r="D2" s="38" t="s">
        <v>5</v>
      </c>
      <c r="F2" t="s">
        <v>3</v>
      </c>
      <c r="G2" t="s">
        <v>5</v>
      </c>
      <c r="H2" s="77"/>
      <c r="I2" s="77"/>
      <c r="J2" s="77"/>
      <c r="K2" s="77"/>
      <c r="L2" s="77"/>
      <c r="M2" s="77"/>
      <c r="N2" s="77"/>
      <c r="O2" s="77"/>
      <c r="P2" s="77"/>
      <c r="Q2" s="77"/>
      <c r="R2" s="77"/>
      <c r="S2" s="77"/>
      <c r="T2" s="77"/>
      <c r="U2" s="77"/>
    </row>
    <row r="3" spans="1:21">
      <c r="A3" s="38">
        <v>1</v>
      </c>
      <c r="B3" t="s">
        <v>6</v>
      </c>
      <c r="C3" s="38"/>
      <c r="D3" s="38" t="s">
        <v>7</v>
      </c>
      <c r="F3" t="s">
        <v>8</v>
      </c>
      <c r="G3" s="104">
        <v>3.8</v>
      </c>
      <c r="H3" s="77"/>
      <c r="I3" s="77"/>
      <c r="J3" s="77"/>
      <c r="K3" s="77"/>
      <c r="L3" s="77"/>
      <c r="M3" s="77"/>
      <c r="N3" s="77"/>
      <c r="O3" s="77"/>
      <c r="P3" s="77"/>
      <c r="Q3" s="77"/>
      <c r="R3" s="77"/>
      <c r="S3" s="77"/>
      <c r="T3" s="77"/>
      <c r="U3" s="77"/>
    </row>
    <row r="4" spans="1:21">
      <c r="A4" s="38">
        <v>2</v>
      </c>
      <c r="B4" t="s">
        <v>9</v>
      </c>
      <c r="C4" s="38"/>
      <c r="D4" s="38" t="s">
        <v>10</v>
      </c>
      <c r="F4" t="s">
        <v>11</v>
      </c>
      <c r="G4" s="104">
        <v>14</v>
      </c>
      <c r="H4" s="77"/>
      <c r="I4" s="77"/>
      <c r="J4" s="77"/>
      <c r="K4" s="77"/>
      <c r="L4" s="77"/>
      <c r="M4" s="77"/>
      <c r="N4" s="77"/>
      <c r="O4" s="77"/>
      <c r="P4" s="77"/>
      <c r="Q4" s="77"/>
      <c r="R4" s="77"/>
      <c r="S4" s="77"/>
      <c r="T4" s="77"/>
      <c r="U4" s="77"/>
    </row>
    <row r="5" spans="1:21">
      <c r="A5" s="38">
        <v>3</v>
      </c>
      <c r="B5" t="s">
        <v>12</v>
      </c>
      <c r="C5" s="38" t="s">
        <v>13</v>
      </c>
      <c r="D5" s="105">
        <v>1206.74</v>
      </c>
      <c r="F5" t="s">
        <v>14</v>
      </c>
      <c r="G5" s="106">
        <v>22</v>
      </c>
      <c r="H5" s="77"/>
      <c r="I5" s="77"/>
      <c r="J5" s="77"/>
      <c r="K5" s="77"/>
      <c r="L5" s="77"/>
      <c r="M5" s="77"/>
      <c r="N5" s="77"/>
      <c r="O5" s="77"/>
      <c r="P5" s="77"/>
      <c r="Q5" s="77"/>
      <c r="R5" s="77"/>
      <c r="S5" s="77"/>
      <c r="T5" s="77"/>
      <c r="U5" s="77"/>
    </row>
    <row r="6" spans="1:21">
      <c r="A6" s="38">
        <v>4</v>
      </c>
      <c r="B6" t="s">
        <v>15</v>
      </c>
      <c r="C6" s="38" t="s">
        <v>16</v>
      </c>
      <c r="D6" s="38" t="s">
        <v>173</v>
      </c>
      <c r="F6" t="s">
        <v>18</v>
      </c>
      <c r="G6" s="107">
        <v>0.03</v>
      </c>
      <c r="H6" s="77"/>
      <c r="I6" s="77"/>
      <c r="J6" s="77"/>
      <c r="K6" s="77"/>
      <c r="L6" s="77"/>
      <c r="M6" s="77"/>
      <c r="N6" s="77"/>
      <c r="O6" s="77"/>
      <c r="P6" s="77"/>
      <c r="Q6" s="77"/>
      <c r="R6" s="77"/>
      <c r="S6" s="77"/>
      <c r="T6" s="77"/>
      <c r="U6" s="77"/>
    </row>
    <row r="7" spans="1:21">
      <c r="A7" s="38">
        <v>5</v>
      </c>
      <c r="B7" t="s">
        <v>19</v>
      </c>
      <c r="C7" s="38"/>
      <c r="D7" s="38" t="s">
        <v>20</v>
      </c>
      <c r="H7" s="77"/>
      <c r="I7" s="77"/>
      <c r="J7" s="77"/>
      <c r="K7" s="77"/>
      <c r="L7" s="77"/>
      <c r="M7" s="77"/>
      <c r="N7" s="77"/>
      <c r="O7" s="77"/>
      <c r="P7" s="77"/>
      <c r="Q7" s="77"/>
      <c r="R7" s="77"/>
      <c r="S7" s="77"/>
      <c r="T7" s="77"/>
      <c r="U7" s="77"/>
    </row>
    <row r="8" spans="6:21">
      <c r="F8" s="57" t="s">
        <v>21</v>
      </c>
      <c r="G8" s="57"/>
      <c r="H8" s="77"/>
      <c r="I8" s="77"/>
      <c r="J8" s="77"/>
      <c r="K8" s="77"/>
      <c r="L8" s="77"/>
      <c r="M8" s="77"/>
      <c r="N8" s="77"/>
      <c r="O8" s="77"/>
      <c r="P8" s="77"/>
      <c r="Q8" s="77"/>
      <c r="R8" s="77"/>
      <c r="S8" s="77"/>
      <c r="T8" s="77"/>
      <c r="U8" s="77"/>
    </row>
    <row r="9" spans="1:21">
      <c r="A9" s="65" t="s">
        <v>22</v>
      </c>
      <c r="B9" s="65"/>
      <c r="C9" s="65"/>
      <c r="D9" s="65"/>
      <c r="F9" t="s">
        <v>23</v>
      </c>
      <c r="G9" t="s">
        <v>24</v>
      </c>
      <c r="H9" s="77"/>
      <c r="I9" s="77"/>
      <c r="J9" s="77"/>
      <c r="K9" s="77"/>
      <c r="L9" s="77"/>
      <c r="M9" s="77"/>
      <c r="N9" s="77"/>
      <c r="O9" s="77"/>
      <c r="P9" s="77"/>
      <c r="Q9" s="77"/>
      <c r="R9" s="77"/>
      <c r="S9" s="77"/>
      <c r="T9" s="77"/>
      <c r="U9" s="77"/>
    </row>
    <row r="10" spans="1:21">
      <c r="A10" s="38" t="s">
        <v>25</v>
      </c>
      <c r="B10" t="s">
        <v>26</v>
      </c>
      <c r="C10" s="38" t="s">
        <v>4</v>
      </c>
      <c r="D10" s="38" t="s">
        <v>5</v>
      </c>
      <c r="F10" t="s">
        <v>27</v>
      </c>
      <c r="G10" s="108">
        <v>0.4337</v>
      </c>
      <c r="H10" s="77"/>
      <c r="I10" s="77"/>
      <c r="J10" s="77"/>
      <c r="K10" s="77"/>
      <c r="L10" s="77"/>
      <c r="M10" s="77"/>
      <c r="N10" s="77"/>
      <c r="O10" s="77"/>
      <c r="P10" s="77"/>
      <c r="Q10" s="77"/>
      <c r="R10" s="77"/>
      <c r="S10" s="77"/>
      <c r="T10" s="77"/>
      <c r="U10" s="77"/>
    </row>
    <row r="11" spans="1:21">
      <c r="A11" s="38" t="s">
        <v>28</v>
      </c>
      <c r="B11" t="s">
        <v>29</v>
      </c>
      <c r="C11" s="38"/>
      <c r="D11" s="70">
        <f>Salário_Normativo_da_Categoria_Profissional</f>
        <v>1206.74</v>
      </c>
      <c r="F11" t="s">
        <v>30</v>
      </c>
      <c r="G11" s="108">
        <v>0.4337</v>
      </c>
      <c r="H11" s="77"/>
      <c r="I11" s="77"/>
      <c r="J11" s="77"/>
      <c r="K11" s="77"/>
      <c r="L11" s="77"/>
      <c r="M11" s="77"/>
      <c r="N11" s="77"/>
      <c r="O11" s="77"/>
      <c r="P11" s="77"/>
      <c r="Q11" s="77"/>
      <c r="R11" s="77"/>
      <c r="S11" s="77"/>
      <c r="T11" s="77"/>
      <c r="U11" s="77"/>
    </row>
    <row r="12" spans="1:21">
      <c r="A12" s="38" t="s">
        <v>31</v>
      </c>
      <c r="B12" t="s">
        <v>32</v>
      </c>
      <c r="C12" s="38"/>
      <c r="D12" s="70"/>
      <c r="F12" t="s">
        <v>33</v>
      </c>
      <c r="G12" s="108">
        <v>0.0218</v>
      </c>
      <c r="H12" s="77"/>
      <c r="I12" s="77"/>
      <c r="J12" s="77"/>
      <c r="K12" s="77"/>
      <c r="L12" s="77"/>
      <c r="M12" s="77"/>
      <c r="N12" s="77"/>
      <c r="O12" s="77"/>
      <c r="P12" s="77"/>
      <c r="Q12" s="77"/>
      <c r="R12" s="77"/>
      <c r="S12" s="77"/>
      <c r="T12" s="77"/>
      <c r="U12" s="77"/>
    </row>
    <row r="13" spans="1:21">
      <c r="A13" s="38" t="s">
        <v>34</v>
      </c>
      <c r="B13" t="s">
        <v>35</v>
      </c>
      <c r="C13" s="38"/>
      <c r="D13" s="70"/>
      <c r="H13" s="77"/>
      <c r="I13" s="77"/>
      <c r="J13" s="77"/>
      <c r="K13" s="77"/>
      <c r="L13" s="77"/>
      <c r="M13" s="77"/>
      <c r="N13" s="77"/>
      <c r="O13" s="77"/>
      <c r="P13" s="77"/>
      <c r="Q13" s="77"/>
      <c r="R13" s="77"/>
      <c r="S13" s="77"/>
      <c r="T13" s="77"/>
      <c r="U13" s="77"/>
    </row>
    <row r="14" spans="1:21">
      <c r="A14" s="38" t="s">
        <v>36</v>
      </c>
      <c r="B14" t="s">
        <v>37</v>
      </c>
      <c r="C14" s="38"/>
      <c r="D14" s="70"/>
      <c r="F14" s="57" t="s">
        <v>38</v>
      </c>
      <c r="G14" s="57"/>
      <c r="H14" s="77"/>
      <c r="I14" s="77"/>
      <c r="J14" s="77"/>
      <c r="K14" s="77"/>
      <c r="L14" s="77"/>
      <c r="M14" s="77"/>
      <c r="N14" s="77"/>
      <c r="O14" s="77"/>
      <c r="P14" s="77"/>
      <c r="Q14" s="77"/>
      <c r="R14" s="77"/>
      <c r="S14" s="77"/>
      <c r="T14" s="77"/>
      <c r="U14" s="77"/>
    </row>
    <row r="15" spans="1:21">
      <c r="A15" s="38" t="s">
        <v>39</v>
      </c>
      <c r="B15" t="s">
        <v>40</v>
      </c>
      <c r="C15" s="38"/>
      <c r="D15" s="70"/>
      <c r="F15" s="77" t="s">
        <v>3</v>
      </c>
      <c r="G15" s="77" t="s">
        <v>24</v>
      </c>
      <c r="H15" s="77"/>
      <c r="I15" s="77"/>
      <c r="J15" s="77"/>
      <c r="K15" s="77"/>
      <c r="L15" s="77"/>
      <c r="M15" s="77"/>
      <c r="N15" s="77"/>
      <c r="O15" s="77"/>
      <c r="P15" s="77"/>
      <c r="Q15" s="77"/>
      <c r="R15" s="77"/>
      <c r="S15" s="77"/>
      <c r="T15" s="77"/>
      <c r="U15" s="77"/>
    </row>
    <row r="16" spans="1:21">
      <c r="A16" s="38" t="s">
        <v>41</v>
      </c>
      <c r="B16" t="s">
        <v>42</v>
      </c>
      <c r="C16" s="38"/>
      <c r="D16" s="70">
        <v>200</v>
      </c>
      <c r="F16" s="77" t="s">
        <v>43</v>
      </c>
      <c r="G16" s="109">
        <v>0.03</v>
      </c>
      <c r="H16" s="77"/>
      <c r="I16" s="77"/>
      <c r="J16" s="77"/>
      <c r="K16" s="77"/>
      <c r="L16" s="77"/>
      <c r="M16" s="77"/>
      <c r="N16" s="77"/>
      <c r="O16" s="77"/>
      <c r="P16" s="77"/>
      <c r="Q16" s="77"/>
      <c r="R16" s="77"/>
      <c r="S16" s="77"/>
      <c r="T16" s="77"/>
      <c r="U16" s="77"/>
    </row>
    <row r="17" spans="1:21">
      <c r="A17" s="38" t="s">
        <v>44</v>
      </c>
      <c r="C17" s="38"/>
      <c r="D17" s="70">
        <f>SUBTOTAL(109,Módulo1379[Valor])</f>
        <v>1406.74</v>
      </c>
      <c r="F17" s="77" t="s">
        <v>45</v>
      </c>
      <c r="G17" s="109">
        <v>0.0679</v>
      </c>
      <c r="H17" s="77"/>
      <c r="I17" s="77"/>
      <c r="J17" s="77"/>
      <c r="K17" s="77"/>
      <c r="L17" s="77"/>
      <c r="M17" s="77"/>
      <c r="N17" s="77"/>
      <c r="O17" s="77"/>
      <c r="P17" s="77"/>
      <c r="Q17" s="77"/>
      <c r="R17" s="77"/>
      <c r="S17" s="77"/>
      <c r="T17" s="77"/>
      <c r="U17" s="77"/>
    </row>
    <row r="18" spans="6:21">
      <c r="F18" s="77" t="s">
        <v>46</v>
      </c>
      <c r="G18" s="110">
        <v>0.0165</v>
      </c>
      <c r="H18" s="77"/>
      <c r="I18" s="77"/>
      <c r="J18" s="77"/>
      <c r="K18" s="77"/>
      <c r="L18" s="77"/>
      <c r="M18" s="77"/>
      <c r="N18" s="77"/>
      <c r="O18" s="77"/>
      <c r="P18" s="77"/>
      <c r="Q18" s="77"/>
      <c r="R18" s="77"/>
      <c r="S18" s="77"/>
      <c r="T18" s="77"/>
      <c r="U18" s="77"/>
    </row>
    <row r="19" spans="1:21">
      <c r="A19" s="71" t="s">
        <v>47</v>
      </c>
      <c r="B19" s="71"/>
      <c r="C19" s="71"/>
      <c r="D19" s="71"/>
      <c r="F19" s="77" t="s">
        <v>48</v>
      </c>
      <c r="G19" s="110">
        <v>0.076</v>
      </c>
      <c r="H19" s="77"/>
      <c r="I19" s="77"/>
      <c r="J19" s="77"/>
      <c r="K19" s="77"/>
      <c r="L19" s="77"/>
      <c r="M19" s="77"/>
      <c r="N19" s="77"/>
      <c r="O19" s="77"/>
      <c r="P19" s="77"/>
      <c r="Q19" s="77"/>
      <c r="R19" s="77"/>
      <c r="S19" s="77"/>
      <c r="T19" s="77"/>
      <c r="U19" s="77"/>
    </row>
    <row r="20" spans="1:21">
      <c r="A20" s="57" t="s">
        <v>49</v>
      </c>
      <c r="B20" s="57"/>
      <c r="C20" s="57"/>
      <c r="D20" s="57"/>
      <c r="F20" s="77" t="s">
        <v>50</v>
      </c>
      <c r="G20" s="110">
        <v>0.05</v>
      </c>
      <c r="H20" s="77"/>
      <c r="I20" s="77"/>
      <c r="J20" s="77"/>
      <c r="K20" s="77"/>
      <c r="L20" s="77"/>
      <c r="M20" s="77"/>
      <c r="N20" s="77"/>
      <c r="O20" s="77"/>
      <c r="P20" s="77"/>
      <c r="Q20" s="77"/>
      <c r="R20" s="77"/>
      <c r="S20" s="77"/>
      <c r="T20" s="77"/>
      <c r="U20" s="77"/>
    </row>
    <row r="21" spans="1:21">
      <c r="A21" s="38" t="s">
        <v>51</v>
      </c>
      <c r="B21" t="s">
        <v>52</v>
      </c>
      <c r="C21" s="38" t="s">
        <v>4</v>
      </c>
      <c r="D21" s="38" t="s">
        <v>5</v>
      </c>
      <c r="F21" s="77"/>
      <c r="G21" s="77"/>
      <c r="H21" s="77"/>
      <c r="I21" s="77"/>
      <c r="J21" s="77"/>
      <c r="K21" s="77"/>
      <c r="L21" s="77"/>
      <c r="M21" s="77"/>
      <c r="N21" s="77"/>
      <c r="O21" s="77"/>
      <c r="P21" s="77"/>
      <c r="Q21" s="77"/>
      <c r="R21" s="77"/>
      <c r="S21" s="77"/>
      <c r="T21" s="77"/>
      <c r="U21" s="77"/>
    </row>
    <row r="22" spans="1:21">
      <c r="A22" s="38" t="s">
        <v>28</v>
      </c>
      <c r="B22" t="s">
        <v>53</v>
      </c>
      <c r="D22" s="70">
        <f>Módulo1379[[#Totals],[Valor]]/12</f>
        <v>117.228333333333</v>
      </c>
      <c r="F22" s="57" t="s">
        <v>54</v>
      </c>
      <c r="G22" s="57"/>
      <c r="H22" s="77"/>
      <c r="I22" s="77"/>
      <c r="J22" s="77"/>
      <c r="K22" s="77"/>
      <c r="L22" s="77"/>
      <c r="M22" s="77"/>
      <c r="N22" s="77"/>
      <c r="O22" s="77"/>
      <c r="P22" s="77"/>
      <c r="Q22" s="77"/>
      <c r="R22" s="77"/>
      <c r="S22" s="77"/>
      <c r="T22" s="77"/>
      <c r="U22" s="77"/>
    </row>
    <row r="23" spans="1:21">
      <c r="A23" s="38" t="s">
        <v>31</v>
      </c>
      <c r="B23" t="s">
        <v>55</v>
      </c>
      <c r="D23" s="70">
        <f>(Módulo1379[[#Totals],[Valor]]/12)*(1/3)</f>
        <v>39.0761111111111</v>
      </c>
      <c r="E23" s="73"/>
      <c r="F23" s="38" t="s">
        <v>3</v>
      </c>
      <c r="G23" s="38" t="s">
        <v>5</v>
      </c>
      <c r="H23" s="77"/>
      <c r="I23" s="77"/>
      <c r="J23" s="77"/>
      <c r="K23" s="77"/>
      <c r="L23" s="77"/>
      <c r="M23" s="77"/>
      <c r="N23" s="77"/>
      <c r="O23" s="77"/>
      <c r="P23" s="77"/>
      <c r="Q23" s="77"/>
      <c r="R23" s="77"/>
      <c r="S23" s="77"/>
      <c r="T23" s="77"/>
      <c r="U23" s="77"/>
    </row>
    <row r="24" spans="1:21">
      <c r="A24" s="38" t="s">
        <v>44</v>
      </c>
      <c r="D24" s="70">
        <f>SUBTOTAL(109,Submódulo2.1480[Valor])</f>
        <v>156.304444444444</v>
      </c>
      <c r="F24" s="77" t="s">
        <v>56</v>
      </c>
      <c r="G24" s="111">
        <f>((D17+D24+(D17/12))*(100%+C41))/30</f>
        <v>76.6204386666667</v>
      </c>
      <c r="H24" s="77"/>
      <c r="I24" s="77"/>
      <c r="J24" s="77"/>
      <c r="K24" s="77"/>
      <c r="L24" s="77"/>
      <c r="M24" s="77"/>
      <c r="N24" s="77"/>
      <c r="O24" s="77"/>
      <c r="P24" s="77"/>
      <c r="Q24" s="77"/>
      <c r="R24" s="77"/>
      <c r="S24" s="77"/>
      <c r="T24" s="77"/>
      <c r="U24" s="77"/>
    </row>
    <row r="25" spans="1:21">
      <c r="A25" s="38"/>
      <c r="D25" s="70"/>
      <c r="F25" s="77" t="s">
        <v>57</v>
      </c>
      <c r="G25" s="111">
        <f>((D17*(1+(1/3))*(100%+C41))/12)/30</f>
        <v>7.12748266666667</v>
      </c>
      <c r="H25" s="77"/>
      <c r="I25" s="77"/>
      <c r="J25" s="77"/>
      <c r="K25" s="77"/>
      <c r="L25" s="77"/>
      <c r="M25" s="77"/>
      <c r="N25" s="77"/>
      <c r="O25" s="77"/>
      <c r="P25" s="77"/>
      <c r="Q25" s="77"/>
      <c r="R25" s="77"/>
      <c r="S25" s="77"/>
      <c r="T25" s="77"/>
      <c r="U25" s="77"/>
    </row>
    <row r="26" spans="1:21">
      <c r="A26" s="112" t="s">
        <v>58</v>
      </c>
      <c r="B26" s="112"/>
      <c r="C26" s="112"/>
      <c r="D26" s="112"/>
      <c r="F26" s="77"/>
      <c r="G26" s="77"/>
      <c r="H26" s="77"/>
      <c r="I26" s="77"/>
      <c r="J26" s="77"/>
      <c r="K26" s="77"/>
      <c r="L26" s="77"/>
      <c r="M26" s="77"/>
      <c r="N26" s="77"/>
      <c r="O26" s="77"/>
      <c r="P26" s="77"/>
      <c r="Q26" s="77"/>
      <c r="R26" s="77"/>
      <c r="S26" s="77"/>
      <c r="T26" s="77"/>
      <c r="U26" s="77"/>
    </row>
    <row r="27" spans="1:21">
      <c r="A27" s="112" t="s">
        <v>2</v>
      </c>
      <c r="B27" s="112" t="s">
        <v>59</v>
      </c>
      <c r="C27" s="112" t="s">
        <v>60</v>
      </c>
      <c r="D27" s="113" t="s">
        <v>61</v>
      </c>
      <c r="F27" s="77"/>
      <c r="G27" s="77"/>
      <c r="H27" s="77"/>
      <c r="I27" s="77"/>
      <c r="J27" s="77"/>
      <c r="K27" s="77"/>
      <c r="L27" s="77"/>
      <c r="M27" s="77"/>
      <c r="N27" s="77"/>
      <c r="O27" s="77"/>
      <c r="P27" s="77"/>
      <c r="Q27" s="77"/>
      <c r="R27" s="77"/>
      <c r="S27" s="77"/>
      <c r="T27" s="77"/>
      <c r="U27" s="77"/>
    </row>
    <row r="28" ht="30" spans="1:21">
      <c r="A28" s="114" t="s">
        <v>28</v>
      </c>
      <c r="B28" s="115" t="s">
        <v>62</v>
      </c>
      <c r="C28" s="39" t="s">
        <v>63</v>
      </c>
      <c r="D28" s="115" t="s">
        <v>64</v>
      </c>
      <c r="F28" s="77"/>
      <c r="G28" s="77"/>
      <c r="H28" s="77"/>
      <c r="I28" s="77"/>
      <c r="J28" s="77"/>
      <c r="K28" s="77"/>
      <c r="L28" s="77"/>
      <c r="M28" s="77"/>
      <c r="N28" s="77"/>
      <c r="O28" s="77"/>
      <c r="P28" s="77"/>
      <c r="Q28" s="77"/>
      <c r="R28" s="77"/>
      <c r="S28" s="77"/>
      <c r="T28" s="77"/>
      <c r="U28" s="77"/>
    </row>
    <row r="29" spans="1:21">
      <c r="A29" s="114" t="s">
        <v>31</v>
      </c>
      <c r="B29" s="116" t="s">
        <v>55</v>
      </c>
      <c r="C29" s="39" t="s">
        <v>63</v>
      </c>
      <c r="D29" s="115" t="s">
        <v>65</v>
      </c>
      <c r="F29" s="77"/>
      <c r="G29" s="77"/>
      <c r="H29" s="77"/>
      <c r="I29" s="77"/>
      <c r="J29" s="77"/>
      <c r="K29" s="77"/>
      <c r="L29" s="77"/>
      <c r="M29" s="77"/>
      <c r="N29" s="77"/>
      <c r="O29" s="77"/>
      <c r="P29" s="77"/>
      <c r="Q29" s="77"/>
      <c r="R29" s="77"/>
      <c r="S29" s="77"/>
      <c r="T29" s="77"/>
      <c r="U29" s="77"/>
    </row>
    <row r="30" spans="1:21">
      <c r="A30" s="38"/>
      <c r="B30" s="38"/>
      <c r="C30" s="80"/>
      <c r="F30" s="77"/>
      <c r="G30" s="77"/>
      <c r="H30" s="77"/>
      <c r="I30" s="77"/>
      <c r="J30" s="77"/>
      <c r="K30" s="77"/>
      <c r="L30" s="77"/>
      <c r="M30" s="77"/>
      <c r="N30" s="77"/>
      <c r="O30" s="77"/>
      <c r="P30" s="77"/>
      <c r="Q30" s="77"/>
      <c r="R30" s="77"/>
      <c r="S30" s="77"/>
      <c r="T30" s="77"/>
      <c r="U30" s="77"/>
    </row>
    <row r="31" spans="1:4">
      <c r="A31" s="57" t="s">
        <v>66</v>
      </c>
      <c r="B31" s="57"/>
      <c r="C31" s="57"/>
      <c r="D31" s="57"/>
    </row>
    <row r="32" spans="1:4">
      <c r="A32" s="38" t="s">
        <v>67</v>
      </c>
      <c r="B32" t="s">
        <v>68</v>
      </c>
      <c r="C32" s="38" t="s">
        <v>24</v>
      </c>
      <c r="D32" s="38" t="s">
        <v>69</v>
      </c>
    </row>
    <row r="33" spans="1:4">
      <c r="A33" s="38" t="s">
        <v>28</v>
      </c>
      <c r="B33" t="s">
        <v>70</v>
      </c>
      <c r="C33" s="81">
        <v>0.2</v>
      </c>
      <c r="D33" s="70">
        <f>C33*(Módulo1379[[#Totals],[Valor]]+Submódulo2.1480[[#Totals],[Valor]])</f>
        <v>312.608888888889</v>
      </c>
    </row>
    <row r="34" spans="1:4">
      <c r="A34" s="38" t="s">
        <v>31</v>
      </c>
      <c r="B34" t="s">
        <v>71</v>
      </c>
      <c r="C34" s="81">
        <v>0.025</v>
      </c>
      <c r="D34" s="70">
        <f>C34*(Módulo1379[[#Totals],[Valor]]+Submódulo2.1480[[#Totals],[Valor]])</f>
        <v>39.0761111111111</v>
      </c>
    </row>
    <row r="35" spans="1:4">
      <c r="A35" s="38" t="s">
        <v>34</v>
      </c>
      <c r="B35" t="s">
        <v>72</v>
      </c>
      <c r="C35" s="81">
        <f>Encarregado!G6</f>
        <v>0.03</v>
      </c>
      <c r="D35" s="70">
        <f>C35*(Módulo1379[[#Totals],[Valor]]+Submódulo2.1480[[#Totals],[Valor]])</f>
        <v>46.8913333333333</v>
      </c>
    </row>
    <row r="36" spans="1:4">
      <c r="A36" s="38" t="s">
        <v>36</v>
      </c>
      <c r="B36" t="s">
        <v>73</v>
      </c>
      <c r="C36" s="81">
        <v>0.015</v>
      </c>
      <c r="D36" s="70">
        <f>C36*(Módulo1379[[#Totals],[Valor]]+Submódulo2.1480[[#Totals],[Valor]])</f>
        <v>23.4456666666667</v>
      </c>
    </row>
    <row r="37" spans="1:4">
      <c r="A37" s="38" t="s">
        <v>39</v>
      </c>
      <c r="B37" t="s">
        <v>74</v>
      </c>
      <c r="C37" s="81">
        <v>0.01</v>
      </c>
      <c r="D37" s="70">
        <f>C37*(Módulo1379[[#Totals],[Valor]]+Submódulo2.1480[[#Totals],[Valor]])</f>
        <v>15.6304444444444</v>
      </c>
    </row>
    <row r="38" spans="1:4">
      <c r="A38" s="38" t="s">
        <v>41</v>
      </c>
      <c r="B38" t="s">
        <v>75</v>
      </c>
      <c r="C38" s="81">
        <v>0.006</v>
      </c>
      <c r="D38" s="70">
        <f>C38*(Módulo1379[[#Totals],[Valor]]+Submódulo2.1480[[#Totals],[Valor]])</f>
        <v>9.37826666666667</v>
      </c>
    </row>
    <row r="39" spans="1:4">
      <c r="A39" s="38" t="s">
        <v>76</v>
      </c>
      <c r="B39" t="s">
        <v>77</v>
      </c>
      <c r="C39" s="81">
        <v>0.002</v>
      </c>
      <c r="D39" s="70">
        <f>C39*(Módulo1379[[#Totals],[Valor]]+Submódulo2.1480[[#Totals],[Valor]])</f>
        <v>3.12608888888889</v>
      </c>
    </row>
    <row r="40" spans="1:4">
      <c r="A40" s="38" t="s">
        <v>78</v>
      </c>
      <c r="B40" t="s">
        <v>79</v>
      </c>
      <c r="C40" s="81">
        <v>0.08</v>
      </c>
      <c r="D40" s="70">
        <f>C40*(Módulo1379[[#Totals],[Valor]]+Submódulo2.1480[[#Totals],[Valor]])</f>
        <v>125.043555555556</v>
      </c>
    </row>
    <row r="41" spans="1:4">
      <c r="A41" s="38" t="s">
        <v>44</v>
      </c>
      <c r="C41" s="84">
        <f>SUBTOTAL(109,Submódulo2.2681[Percentual])</f>
        <v>0.368</v>
      </c>
      <c r="D41" s="70">
        <v>575.200355555556</v>
      </c>
    </row>
    <row r="42" spans="1:4">
      <c r="A42" s="38"/>
      <c r="C42" s="84"/>
      <c r="D42" s="70"/>
    </row>
    <row r="43" spans="1:4">
      <c r="A43" s="112" t="s">
        <v>80</v>
      </c>
      <c r="B43" s="112"/>
      <c r="C43" s="112"/>
      <c r="D43" s="112"/>
    </row>
    <row r="44" spans="1:4">
      <c r="A44" s="112" t="s">
        <v>2</v>
      </c>
      <c r="B44" s="112" t="s">
        <v>59</v>
      </c>
      <c r="C44" s="112" t="s">
        <v>60</v>
      </c>
      <c r="D44" s="113" t="s">
        <v>61</v>
      </c>
    </row>
    <row r="45" ht="30" spans="1:4">
      <c r="A45" s="114" t="s">
        <v>81</v>
      </c>
      <c r="B45" s="115" t="s">
        <v>68</v>
      </c>
      <c r="C45" s="115" t="s">
        <v>82</v>
      </c>
      <c r="D45" s="115" t="s">
        <v>83</v>
      </c>
    </row>
    <row r="47" spans="1:4">
      <c r="A47" s="57" t="s">
        <v>84</v>
      </c>
      <c r="B47" s="57"/>
      <c r="C47" s="57"/>
      <c r="D47" s="57"/>
    </row>
    <row r="48" spans="1:4">
      <c r="A48" s="38" t="s">
        <v>85</v>
      </c>
      <c r="B48" t="s">
        <v>86</v>
      </c>
      <c r="C48" s="38" t="s">
        <v>4</v>
      </c>
      <c r="D48" s="38" t="s">
        <v>5</v>
      </c>
    </row>
    <row r="49" spans="1:4">
      <c r="A49" s="38" t="s">
        <v>28</v>
      </c>
      <c r="B49" t="s">
        <v>87</v>
      </c>
      <c r="D49" s="70">
        <f>IF(G3=0,0,(Encarregado!G3*2*Encarregado!G5)-(6%*_1A))</f>
        <v>94.7956</v>
      </c>
    </row>
    <row r="50" spans="1:4">
      <c r="A50" s="38" t="s">
        <v>31</v>
      </c>
      <c r="B50" t="s">
        <v>88</v>
      </c>
      <c r="D50" s="70">
        <f>(Encarregado!G4*Encarregado!G5)*80%</f>
        <v>246.4</v>
      </c>
    </row>
    <row r="51" spans="1:4">
      <c r="A51" s="38" t="s">
        <v>34</v>
      </c>
      <c r="B51" t="s">
        <v>89</v>
      </c>
      <c r="D51" s="70"/>
    </row>
    <row r="52" spans="1:4">
      <c r="A52" s="38" t="s">
        <v>36</v>
      </c>
      <c r="B52" t="s">
        <v>90</v>
      </c>
      <c r="C52" t="s">
        <v>91</v>
      </c>
      <c r="D52" s="70">
        <v>4</v>
      </c>
    </row>
    <row r="53" spans="1:4">
      <c r="A53" s="38" t="s">
        <v>39</v>
      </c>
      <c r="B53" t="s">
        <v>92</v>
      </c>
      <c r="C53" t="s">
        <v>93</v>
      </c>
      <c r="D53" s="70">
        <v>15</v>
      </c>
    </row>
    <row r="54" spans="1:4">
      <c r="A54" s="38" t="s">
        <v>44</v>
      </c>
      <c r="D54" s="70">
        <f>SUBTOTAL(109,Submódulo2.3882[Valor])</f>
        <v>360.1956</v>
      </c>
    </row>
    <row r="55" spans="1:4">
      <c r="A55" s="38"/>
      <c r="D55" s="70"/>
    </row>
    <row r="56" spans="1:4">
      <c r="A56" s="112" t="s">
        <v>94</v>
      </c>
      <c r="B56" s="112"/>
      <c r="C56" s="112"/>
      <c r="D56" s="112"/>
    </row>
    <row r="57" spans="1:4">
      <c r="A57" s="112" t="s">
        <v>2</v>
      </c>
      <c r="B57" s="112" t="s">
        <v>59</v>
      </c>
      <c r="C57" s="112" t="s">
        <v>60</v>
      </c>
      <c r="D57" s="112" t="s">
        <v>61</v>
      </c>
    </row>
    <row r="58" ht="45" spans="1:4">
      <c r="A58" s="114" t="s">
        <v>28</v>
      </c>
      <c r="B58" s="115" t="s">
        <v>87</v>
      </c>
      <c r="C58" s="39" t="s">
        <v>95</v>
      </c>
      <c r="D58" s="39" t="s">
        <v>96</v>
      </c>
    </row>
    <row r="59" ht="30" spans="1:4">
      <c r="A59" s="114" t="s">
        <v>31</v>
      </c>
      <c r="B59" s="116" t="s">
        <v>88</v>
      </c>
      <c r="C59" s="39" t="s">
        <v>95</v>
      </c>
      <c r="D59" s="39" t="s">
        <v>97</v>
      </c>
    </row>
    <row r="60" ht="19.5" customHeight="1" spans="1:4">
      <c r="A60" s="38"/>
      <c r="D60" s="70"/>
    </row>
    <row r="61" spans="1:4">
      <c r="A61" s="57" t="s">
        <v>98</v>
      </c>
      <c r="B61" s="57"/>
      <c r="C61" s="57"/>
      <c r="D61" s="57"/>
    </row>
    <row r="62" spans="1:4">
      <c r="A62" s="38" t="s">
        <v>99</v>
      </c>
      <c r="B62" t="s">
        <v>100</v>
      </c>
      <c r="C62" s="38" t="s">
        <v>4</v>
      </c>
      <c r="D62" s="38" t="s">
        <v>5</v>
      </c>
    </row>
    <row r="63" spans="1:4">
      <c r="A63" s="38" t="s">
        <v>51</v>
      </c>
      <c r="B63" t="s">
        <v>52</v>
      </c>
      <c r="C63" s="38"/>
      <c r="D63" s="70">
        <f>Submódulo2.1480[[#Totals],[Valor]]</f>
        <v>156.304444444444</v>
      </c>
    </row>
    <row r="64" spans="1:4">
      <c r="A64" s="38" t="s">
        <v>67</v>
      </c>
      <c r="B64" t="s">
        <v>68</v>
      </c>
      <c r="C64" s="38"/>
      <c r="D64" s="70">
        <f>Submódulo2.2681[[#Totals],[Valor ]]</f>
        <v>575.200355555556</v>
      </c>
    </row>
    <row r="65" spans="1:4">
      <c r="A65" s="38" t="s">
        <v>85</v>
      </c>
      <c r="B65" t="s">
        <v>86</v>
      </c>
      <c r="C65" s="38"/>
      <c r="D65" s="70">
        <f>Submódulo2.3882[[#Totals],[Valor]]</f>
        <v>360.1956</v>
      </c>
    </row>
    <row r="66" spans="1:4">
      <c r="A66" s="38" t="s">
        <v>44</v>
      </c>
      <c r="C66" s="38"/>
      <c r="D66" s="70">
        <v>1091.7004</v>
      </c>
    </row>
    <row r="68" spans="1:4">
      <c r="A68" s="65" t="s">
        <v>101</v>
      </c>
      <c r="B68" s="65"/>
      <c r="C68" s="65"/>
      <c r="D68" s="65"/>
    </row>
    <row r="69" spans="1:4">
      <c r="A69" s="38" t="s">
        <v>102</v>
      </c>
      <c r="B69" t="s">
        <v>103</v>
      </c>
      <c r="C69" s="38" t="s">
        <v>4</v>
      </c>
      <c r="D69" s="38" t="s">
        <v>5</v>
      </c>
    </row>
    <row r="70" spans="1:4">
      <c r="A70" s="38" t="s">
        <v>28</v>
      </c>
      <c r="B70" t="s">
        <v>104</v>
      </c>
      <c r="D70" s="70">
        <f>((Módulo1379[[#Totals],[Valor]]+D63+D65)/12)*G10</f>
        <v>69.5091006062963</v>
      </c>
    </row>
    <row r="71" spans="1:4">
      <c r="A71" s="38" t="s">
        <v>31</v>
      </c>
      <c r="B71" t="s">
        <v>105</v>
      </c>
      <c r="D71" s="70">
        <f>(D40/12)*Encarregado!G10</f>
        <v>4.5192825037037</v>
      </c>
    </row>
    <row r="72" spans="1:4">
      <c r="A72" s="38" t="s">
        <v>34</v>
      </c>
      <c r="B72" t="s">
        <v>106</v>
      </c>
      <c r="D72" s="70">
        <f>D40*50%*Encarregado!G10</f>
        <v>27.1156950222222</v>
      </c>
    </row>
    <row r="73" spans="1:4">
      <c r="A73" s="38" t="s">
        <v>36</v>
      </c>
      <c r="B73" t="s">
        <v>107</v>
      </c>
      <c r="D73" s="70">
        <f>((Módulo1379[[#Totals],[Valor]]+ResumoMódulo2983[[#Totals],[Valor]])/12)*G11</f>
        <v>90.2978001233333</v>
      </c>
    </row>
    <row r="74" spans="1:4">
      <c r="A74" s="38" t="s">
        <v>39</v>
      </c>
      <c r="B74" t="s">
        <v>108</v>
      </c>
      <c r="D74" s="70">
        <f>D40*50%*Encarregado!G11</f>
        <v>27.1156950222222</v>
      </c>
    </row>
    <row r="75" spans="1:4">
      <c r="A75" s="38" t="s">
        <v>41</v>
      </c>
      <c r="B75" t="s">
        <v>109</v>
      </c>
      <c r="D75" s="70">
        <f>-D63*Encarregado!G12</f>
        <v>-3.40743688888889</v>
      </c>
    </row>
    <row r="76" spans="1:4">
      <c r="A76" s="38" t="s">
        <v>44</v>
      </c>
      <c r="D76" s="70">
        <f>SUBTOTAL(109,Módulo32484[Valor])</f>
        <v>215.150136388889</v>
      </c>
    </row>
    <row r="77" spans="1:4">
      <c r="A77" s="38"/>
      <c r="D77" s="70"/>
    </row>
    <row r="78" spans="1:4">
      <c r="A78" s="112" t="s">
        <v>110</v>
      </c>
      <c r="B78" s="112"/>
      <c r="C78" s="112"/>
      <c r="D78" s="112"/>
    </row>
    <row r="79" spans="1:4">
      <c r="A79" s="112" t="s">
        <v>2</v>
      </c>
      <c r="B79" s="112" t="s">
        <v>59</v>
      </c>
      <c r="C79" s="112" t="s">
        <v>60</v>
      </c>
      <c r="D79" s="112" t="s">
        <v>61</v>
      </c>
    </row>
    <row r="80" ht="60" spans="1:4">
      <c r="A80" s="114" t="s">
        <v>28</v>
      </c>
      <c r="B80" s="115" t="s">
        <v>104</v>
      </c>
      <c r="C80" s="39" t="s">
        <v>111</v>
      </c>
      <c r="D80" s="39" t="s">
        <v>112</v>
      </c>
    </row>
    <row r="81" ht="60" spans="1:4">
      <c r="A81" s="114" t="s">
        <v>31</v>
      </c>
      <c r="B81" s="116" t="s">
        <v>105</v>
      </c>
      <c r="C81" s="39" t="s">
        <v>113</v>
      </c>
      <c r="D81" s="39" t="s">
        <v>112</v>
      </c>
    </row>
    <row r="82" ht="75" spans="1:4">
      <c r="A82" s="114" t="s">
        <v>34</v>
      </c>
      <c r="B82" s="116" t="s">
        <v>106</v>
      </c>
      <c r="C82" s="39" t="s">
        <v>113</v>
      </c>
      <c r="D82" s="117" t="s">
        <v>114</v>
      </c>
    </row>
    <row r="83" ht="60" spans="1:4">
      <c r="A83" s="114" t="s">
        <v>36</v>
      </c>
      <c r="B83" s="118" t="s">
        <v>107</v>
      </c>
      <c r="C83" s="39" t="s">
        <v>115</v>
      </c>
      <c r="D83" s="117" t="s">
        <v>116</v>
      </c>
    </row>
    <row r="84" ht="75" spans="1:4">
      <c r="A84" s="114" t="s">
        <v>39</v>
      </c>
      <c r="B84" s="118" t="s">
        <v>108</v>
      </c>
      <c r="C84" s="39" t="s">
        <v>113</v>
      </c>
      <c r="D84" s="117" t="s">
        <v>117</v>
      </c>
    </row>
    <row r="85" ht="60" spans="1:4">
      <c r="A85" s="114" t="s">
        <v>41</v>
      </c>
      <c r="B85" s="118" t="s">
        <v>109</v>
      </c>
      <c r="C85" s="39" t="s">
        <v>118</v>
      </c>
      <c r="D85" s="117" t="s">
        <v>119</v>
      </c>
    </row>
    <row r="87" spans="1:4">
      <c r="A87" s="89" t="s">
        <v>120</v>
      </c>
      <c r="B87" s="71"/>
      <c r="C87" s="71"/>
      <c r="D87" s="71"/>
    </row>
    <row r="88" spans="1:4">
      <c r="A88" s="90" t="s">
        <v>121</v>
      </c>
      <c r="B88" s="90"/>
      <c r="C88" s="90"/>
      <c r="D88" s="90"/>
    </row>
    <row r="89" spans="1:4">
      <c r="A89" s="38" t="s">
        <v>122</v>
      </c>
      <c r="B89" t="s">
        <v>123</v>
      </c>
      <c r="C89" s="38" t="s">
        <v>124</v>
      </c>
      <c r="D89" s="38" t="s">
        <v>5</v>
      </c>
    </row>
    <row r="90" spans="1:5">
      <c r="A90" s="38" t="s">
        <v>28</v>
      </c>
      <c r="B90" t="s">
        <v>125</v>
      </c>
      <c r="C90" s="38">
        <v>30</v>
      </c>
      <c r="D90" s="70">
        <f t="shared" ref="D90:D95" si="0">(C90*G$24)/12</f>
        <v>191.551096666667</v>
      </c>
      <c r="E90" s="73"/>
    </row>
    <row r="91" spans="1:5">
      <c r="A91" s="38" t="s">
        <v>31</v>
      </c>
      <c r="B91" t="s">
        <v>126</v>
      </c>
      <c r="C91" s="38">
        <v>1.4181</v>
      </c>
      <c r="D91" s="70">
        <f t="shared" si="0"/>
        <v>9.05462033943333</v>
      </c>
      <c r="E91" s="73"/>
    </row>
    <row r="92" spans="1:5">
      <c r="A92" s="38" t="s">
        <v>34</v>
      </c>
      <c r="B92" t="s">
        <v>127</v>
      </c>
      <c r="C92" s="38">
        <v>0.1898</v>
      </c>
      <c r="D92" s="70">
        <f t="shared" si="0"/>
        <v>1.21187993824444</v>
      </c>
      <c r="E92" s="73"/>
    </row>
    <row r="93" spans="1:5">
      <c r="A93" s="38" t="s">
        <v>36</v>
      </c>
      <c r="B93" t="s">
        <v>128</v>
      </c>
      <c r="C93" s="38">
        <v>0.9545</v>
      </c>
      <c r="D93" s="70">
        <f t="shared" si="0"/>
        <v>6.09451739227778</v>
      </c>
      <c r="E93" s="73"/>
    </row>
    <row r="94" spans="1:5">
      <c r="A94" s="38" t="s">
        <v>39</v>
      </c>
      <c r="B94" t="s">
        <v>129</v>
      </c>
      <c r="C94" s="38">
        <v>2.4723</v>
      </c>
      <c r="D94" s="70">
        <f>(C94*G$25)/12</f>
        <v>1.4684396164</v>
      </c>
      <c r="E94" s="73"/>
    </row>
    <row r="95" spans="1:5">
      <c r="A95" s="38" t="s">
        <v>41</v>
      </c>
      <c r="B95" t="s">
        <v>130</v>
      </c>
      <c r="C95" s="38">
        <v>3.4521</v>
      </c>
      <c r="D95" s="70">
        <f t="shared" si="0"/>
        <v>22.0417846934333</v>
      </c>
      <c r="E95" s="73"/>
    </row>
    <row r="96" spans="1:4">
      <c r="A96" s="38" t="s">
        <v>44</v>
      </c>
      <c r="C96" s="38">
        <f>SUBTOTAL(109,Submódulo4.12585[Dias de ausência])</f>
        <v>38.4868</v>
      </c>
      <c r="D96" s="70">
        <f>SUBTOTAL(109,Submódulo4.12585[Valor])</f>
        <v>231.422338646456</v>
      </c>
    </row>
    <row r="97" spans="1:4">
      <c r="A97" s="38"/>
      <c r="C97" s="38"/>
      <c r="D97" s="70"/>
    </row>
    <row r="98" spans="1:4">
      <c r="A98" s="112" t="s">
        <v>131</v>
      </c>
      <c r="B98" s="112"/>
      <c r="C98" s="112"/>
      <c r="D98" s="112"/>
    </row>
    <row r="99" spans="1:4">
      <c r="A99" s="112" t="s">
        <v>2</v>
      </c>
      <c r="B99" s="112" t="s">
        <v>59</v>
      </c>
      <c r="C99" s="112" t="s">
        <v>60</v>
      </c>
      <c r="D99" s="112" t="s">
        <v>61</v>
      </c>
    </row>
    <row r="100" spans="1:4">
      <c r="A100" s="114" t="s">
        <v>132</v>
      </c>
      <c r="B100" s="115" t="s">
        <v>133</v>
      </c>
      <c r="C100" s="39"/>
      <c r="D100" s="39"/>
    </row>
    <row r="101" ht="60" spans="1:4">
      <c r="A101" s="114" t="s">
        <v>134</v>
      </c>
      <c r="B101" s="116" t="s">
        <v>135</v>
      </c>
      <c r="C101" s="39" t="s">
        <v>136</v>
      </c>
      <c r="D101" s="39" t="s">
        <v>137</v>
      </c>
    </row>
    <row r="102" ht="60" spans="1:4">
      <c r="A102" s="114" t="s">
        <v>39</v>
      </c>
      <c r="B102" s="116" t="s">
        <v>138</v>
      </c>
      <c r="C102" s="39" t="s">
        <v>139</v>
      </c>
      <c r="D102" s="39" t="s">
        <v>137</v>
      </c>
    </row>
    <row r="103" spans="1:4">
      <c r="A103" s="38"/>
      <c r="C103" s="38"/>
      <c r="D103" s="70"/>
    </row>
    <row r="104" spans="1:4">
      <c r="A104" s="57" t="s">
        <v>140</v>
      </c>
      <c r="B104" s="57"/>
      <c r="C104" s="57"/>
      <c r="D104" s="57"/>
    </row>
    <row r="105" spans="1:4">
      <c r="A105" s="38" t="s">
        <v>141</v>
      </c>
      <c r="B105" t="s">
        <v>142</v>
      </c>
      <c r="C105" s="38" t="s">
        <v>4</v>
      </c>
      <c r="D105" s="38" t="s">
        <v>5</v>
      </c>
    </row>
    <row r="106" spans="1:4">
      <c r="A106" s="38" t="s">
        <v>28</v>
      </c>
      <c r="B106" t="s">
        <v>143</v>
      </c>
      <c r="C106" s="38"/>
      <c r="D106" s="70"/>
    </row>
    <row r="107" spans="1:4">
      <c r="A107" s="38" t="s">
        <v>44</v>
      </c>
      <c r="C107" s="38"/>
      <c r="D107" s="70">
        <f>SUBTOTAL(109,Submódulo4.22686[Valor])</f>
        <v>0</v>
      </c>
    </row>
    <row r="109" spans="1:4">
      <c r="A109" s="90" t="s">
        <v>144</v>
      </c>
      <c r="B109" s="90"/>
      <c r="C109" s="90"/>
      <c r="D109" s="90"/>
    </row>
    <row r="110" spans="1:4">
      <c r="A110" s="38" t="s">
        <v>145</v>
      </c>
      <c r="B110" t="s">
        <v>146</v>
      </c>
      <c r="C110" s="38" t="s">
        <v>4</v>
      </c>
      <c r="D110" s="38" t="s">
        <v>5</v>
      </c>
    </row>
    <row r="111" spans="1:4">
      <c r="A111" s="38" t="s">
        <v>122</v>
      </c>
      <c r="B111" t="s">
        <v>123</v>
      </c>
      <c r="D111" s="70">
        <f>Submódulo4.12585[[#Totals],[Valor]]</f>
        <v>231.422338646456</v>
      </c>
    </row>
    <row r="112" spans="1:4">
      <c r="A112" s="38" t="s">
        <v>141</v>
      </c>
      <c r="B112" t="s">
        <v>147</v>
      </c>
      <c r="D112" s="70">
        <f>Submódulo4.22686[[#Totals],[Valor]]</f>
        <v>0</v>
      </c>
    </row>
    <row r="113" spans="1:4">
      <c r="A113" s="38" t="s">
        <v>44</v>
      </c>
      <c r="D113" s="70">
        <f>SUBTOTAL(109,ResumoMódulo42787[Valor])</f>
        <v>231.422338646456</v>
      </c>
    </row>
    <row r="115" spans="1:4">
      <c r="A115" s="65" t="s">
        <v>148</v>
      </c>
      <c r="B115" s="65"/>
      <c r="C115" s="65"/>
      <c r="D115" s="65"/>
    </row>
    <row r="116" spans="1:4">
      <c r="A116" s="38" t="s">
        <v>149</v>
      </c>
      <c r="B116" t="s">
        <v>150</v>
      </c>
      <c r="C116" s="38" t="s">
        <v>4</v>
      </c>
      <c r="D116" s="38" t="s">
        <v>5</v>
      </c>
    </row>
    <row r="117" spans="1:4">
      <c r="A117" s="38" t="s">
        <v>28</v>
      </c>
      <c r="B117" t="s">
        <v>151</v>
      </c>
      <c r="D117" s="70" t="e">
        <f>#REF!</f>
        <v>#REF!</v>
      </c>
    </row>
    <row r="118" spans="1:4">
      <c r="A118" s="38" t="s">
        <v>31</v>
      </c>
      <c r="B118" t="s">
        <v>152</v>
      </c>
      <c r="D118" s="70"/>
    </row>
    <row r="119" spans="1:4">
      <c r="A119" s="38" t="s">
        <v>34</v>
      </c>
      <c r="B119" t="s">
        <v>153</v>
      </c>
      <c r="D119" s="70"/>
    </row>
    <row r="120" spans="1:4">
      <c r="A120" s="38" t="s">
        <v>36</v>
      </c>
      <c r="B120" t="s">
        <v>154</v>
      </c>
      <c r="D120" s="70"/>
    </row>
    <row r="121" spans="1:4">
      <c r="A121" s="38" t="s">
        <v>44</v>
      </c>
      <c r="D121" s="70" t="e">
        <f>SUBTOTAL(109,Módulo52888[Valor])</f>
        <v>#REF!</v>
      </c>
    </row>
    <row r="122" spans="1:4">
      <c r="A122" s="38"/>
      <c r="D122" s="70"/>
    </row>
    <row r="123" spans="1:4">
      <c r="A123" s="112" t="s">
        <v>155</v>
      </c>
      <c r="B123" s="112"/>
      <c r="C123" s="112"/>
      <c r="D123" s="112"/>
    </row>
    <row r="124" spans="1:4">
      <c r="A124" s="112" t="s">
        <v>2</v>
      </c>
      <c r="B124" s="112" t="s">
        <v>59</v>
      </c>
      <c r="C124" s="112" t="s">
        <v>60</v>
      </c>
      <c r="D124" s="112" t="s">
        <v>61</v>
      </c>
    </row>
    <row r="125" spans="1:4">
      <c r="A125" s="114" t="s">
        <v>28</v>
      </c>
      <c r="B125" s="115" t="s">
        <v>151</v>
      </c>
      <c r="C125" s="39" t="s">
        <v>156</v>
      </c>
      <c r="D125" s="39"/>
    </row>
    <row r="126" ht="30" spans="1:4">
      <c r="A126" s="114" t="s">
        <v>31</v>
      </c>
      <c r="B126" s="116" t="s">
        <v>152</v>
      </c>
      <c r="C126" s="39" t="s">
        <v>157</v>
      </c>
      <c r="D126" s="39" t="s">
        <v>158</v>
      </c>
    </row>
    <row r="127" ht="30" spans="1:4">
      <c r="A127" s="114" t="s">
        <v>34</v>
      </c>
      <c r="B127" s="116" t="s">
        <v>153</v>
      </c>
      <c r="C127" s="39" t="s">
        <v>159</v>
      </c>
      <c r="D127" s="39" t="s">
        <v>158</v>
      </c>
    </row>
    <row r="128" spans="1:4">
      <c r="A128" s="114" t="s">
        <v>36</v>
      </c>
      <c r="B128" s="116" t="s">
        <v>154</v>
      </c>
      <c r="C128" s="39"/>
      <c r="D128" s="39"/>
    </row>
    <row r="130" spans="1:4">
      <c r="A130" s="65" t="s">
        <v>160</v>
      </c>
      <c r="B130" s="65"/>
      <c r="C130" s="65"/>
      <c r="D130" s="65"/>
    </row>
    <row r="131" outlineLevel="1" spans="1:4">
      <c r="A131" s="38" t="s">
        <v>161</v>
      </c>
      <c r="B131" t="s">
        <v>162</v>
      </c>
      <c r="C131" s="38" t="s">
        <v>24</v>
      </c>
      <c r="D131" s="38" t="s">
        <v>5</v>
      </c>
    </row>
    <row r="132" outlineLevel="1" spans="1:4">
      <c r="A132" s="38" t="s">
        <v>28</v>
      </c>
      <c r="B132" t="s">
        <v>163</v>
      </c>
      <c r="C132" s="81">
        <f>G16</f>
        <v>0.03</v>
      </c>
      <c r="D132" s="70" t="e">
        <f>Módulo62989[[#This Row],[Percentual]]*(D143+D144+D145+D146+D147)</f>
        <v>#REF!</v>
      </c>
    </row>
    <row r="133" outlineLevel="1" spans="1:4">
      <c r="A133" s="38" t="s">
        <v>31</v>
      </c>
      <c r="B133" t="s">
        <v>45</v>
      </c>
      <c r="C133" s="81">
        <f>G17</f>
        <v>0.0679</v>
      </c>
      <c r="D133" s="70" t="e">
        <f>(SUM(D143:D147)+D132)*Módulo62989[[#This Row],[Percentual]]</f>
        <v>#REF!</v>
      </c>
    </row>
    <row r="134" spans="1:4">
      <c r="A134" s="38" t="s">
        <v>34</v>
      </c>
      <c r="B134" t="s">
        <v>164</v>
      </c>
      <c r="C134" s="81">
        <f>SUM(C135:C137)</f>
        <v>0.1425</v>
      </c>
      <c r="D134" s="70" t="e">
        <f>Módulo62989[[#This Row],[Percentual]]*D150</f>
        <v>#REF!</v>
      </c>
    </row>
    <row r="135" spans="1:4">
      <c r="A135" s="38" t="s">
        <v>165</v>
      </c>
      <c r="B135" t="s">
        <v>46</v>
      </c>
      <c r="C135" s="81">
        <f>G18</f>
        <v>0.0165</v>
      </c>
      <c r="D135" s="70" t="e">
        <f>Módulo62989[[#This Row],[Percentual]]*D150</f>
        <v>#REF!</v>
      </c>
    </row>
    <row r="136" spans="1:4">
      <c r="A136" s="38" t="s">
        <v>166</v>
      </c>
      <c r="B136" t="s">
        <v>48</v>
      </c>
      <c r="C136" s="81">
        <f>G19</f>
        <v>0.076</v>
      </c>
      <c r="D136" s="70" t="e">
        <f>Módulo62989[[#This Row],[Percentual]]*D150</f>
        <v>#REF!</v>
      </c>
    </row>
    <row r="137" spans="1:4">
      <c r="A137" s="38" t="s">
        <v>167</v>
      </c>
      <c r="B137" t="s">
        <v>50</v>
      </c>
      <c r="C137" s="81">
        <f>G20</f>
        <v>0.05</v>
      </c>
      <c r="D137" s="70" t="e">
        <f>Módulo62989[[#This Row],[Percentual]]*D150</f>
        <v>#REF!</v>
      </c>
    </row>
    <row r="138" spans="1:4">
      <c r="A138" s="38" t="s">
        <v>44</v>
      </c>
      <c r="C138" s="101"/>
      <c r="D138" s="70" t="e">
        <f>SUM(D132:D134)</f>
        <v>#REF!</v>
      </c>
    </row>
    <row r="139" spans="1:4">
      <c r="A139" s="38"/>
      <c r="C139" s="101"/>
      <c r="D139" s="70"/>
    </row>
    <row r="141" spans="1:4">
      <c r="A141" s="65" t="s">
        <v>168</v>
      </c>
      <c r="B141" s="65"/>
      <c r="C141" s="65"/>
      <c r="D141" s="65"/>
    </row>
    <row r="142" spans="1:4">
      <c r="A142" s="38" t="s">
        <v>2</v>
      </c>
      <c r="B142" s="38" t="s">
        <v>169</v>
      </c>
      <c r="C142" s="38" t="s">
        <v>95</v>
      </c>
      <c r="D142" s="38" t="s">
        <v>5</v>
      </c>
    </row>
    <row r="143" spans="1:4">
      <c r="A143" s="38" t="s">
        <v>28</v>
      </c>
      <c r="B143" t="s">
        <v>22</v>
      </c>
      <c r="D143" s="70">
        <f>Módulo1379[[#Totals],[Valor]]</f>
        <v>1406.74</v>
      </c>
    </row>
    <row r="144" spans="1:4">
      <c r="A144" s="38" t="s">
        <v>31</v>
      </c>
      <c r="B144" t="s">
        <v>47</v>
      </c>
      <c r="D144" s="70">
        <f>ResumoMódulo2983[[#Totals],[Valor]]</f>
        <v>1091.7004</v>
      </c>
    </row>
    <row r="145" spans="1:4">
      <c r="A145" s="38" t="s">
        <v>34</v>
      </c>
      <c r="B145" t="s">
        <v>101</v>
      </c>
      <c r="D145" s="70">
        <f>Módulo32484[[#Totals],[Valor]]</f>
        <v>215.150136388889</v>
      </c>
    </row>
    <row r="146" spans="1:4">
      <c r="A146" s="38" t="s">
        <v>36</v>
      </c>
      <c r="B146" t="s">
        <v>170</v>
      </c>
      <c r="D146" s="70">
        <f>ResumoMódulo42787[[#Totals],[Valor]]</f>
        <v>231.422338646456</v>
      </c>
    </row>
    <row r="147" spans="1:4">
      <c r="A147" s="38" t="s">
        <v>39</v>
      </c>
      <c r="B147" t="s">
        <v>148</v>
      </c>
      <c r="D147" s="70" t="e">
        <f>Módulo52888[[#Totals],[Valor]]</f>
        <v>#REF!</v>
      </c>
    </row>
    <row r="148" spans="1:4">
      <c r="A148" t="s">
        <v>171</v>
      </c>
      <c r="D148" s="70" t="e">
        <f>SUM(D143:D147)</f>
        <v>#REF!</v>
      </c>
    </row>
    <row r="149" spans="1:4">
      <c r="A149" s="38" t="s">
        <v>41</v>
      </c>
      <c r="B149" t="s">
        <v>160</v>
      </c>
      <c r="D149" s="70" t="e">
        <f>Módulo62989[[#Totals],[Valor]]</f>
        <v>#REF!</v>
      </c>
    </row>
    <row r="150" spans="1:4">
      <c r="A150" s="50" t="s">
        <v>172</v>
      </c>
      <c r="B150" s="50"/>
      <c r="C150" s="50"/>
      <c r="D150" s="119" t="e">
        <f>(SUM(D143:D147)+D132+D133)/(100%-C134)</f>
        <v>#REF!</v>
      </c>
    </row>
  </sheetData>
  <mergeCells count="25">
    <mergeCell ref="A1:D1"/>
    <mergeCell ref="F1:G1"/>
    <mergeCell ref="F8:G8"/>
    <mergeCell ref="A9:D9"/>
    <mergeCell ref="F14:G14"/>
    <mergeCell ref="A19:D19"/>
    <mergeCell ref="A20:D20"/>
    <mergeCell ref="F22:G22"/>
    <mergeCell ref="A26:D26"/>
    <mergeCell ref="A31:D31"/>
    <mergeCell ref="A43:D43"/>
    <mergeCell ref="A47:D47"/>
    <mergeCell ref="A56:D56"/>
    <mergeCell ref="A61:D61"/>
    <mergeCell ref="A68:D68"/>
    <mergeCell ref="A78:D78"/>
    <mergeCell ref="A87:D87"/>
    <mergeCell ref="A88:D88"/>
    <mergeCell ref="A98:D98"/>
    <mergeCell ref="A104:D104"/>
    <mergeCell ref="A109:D109"/>
    <mergeCell ref="A115:D115"/>
    <mergeCell ref="A123:D123"/>
    <mergeCell ref="A130:D130"/>
    <mergeCell ref="A141:D141"/>
  </mergeCells>
  <pageMargins left="0.7" right="0.7" top="0.75" bottom="0.75" header="0.3" footer="0.3"/>
  <pageSetup paperSize="9" orientation="portrait"/>
  <headerFooter/>
  <legacyDrawing r:id="rId2"/>
  <tableParts count="23">
    <tablePart r:id="rId3"/>
    <tablePart r:id="rId4"/>
    <tablePart r:id="rId5"/>
    <tablePart r:id="rId6"/>
    <tablePart r:id="rId7"/>
    <tablePart r:id="rId8"/>
    <tablePart r:id="rId9"/>
    <tablePart r:id="rId10"/>
    <tablePart r:id="rId11"/>
    <tablePart r:id="rId12"/>
    <tablePart r:id="rId13"/>
    <tablePart r:id="rId14"/>
    <tablePart r:id="rId15"/>
    <tablePart r:id="rId16"/>
    <tablePart r:id="rId17"/>
    <tablePart r:id="rId18"/>
    <tablePart r:id="rId19"/>
    <tablePart r:id="rId20"/>
    <tablePart r:id="rId21"/>
    <tablePart r:id="rId22"/>
    <tablePart r:id="rId23"/>
    <tablePart r:id="rId24"/>
    <tablePart r:id="rId25"/>
  </tablePart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autoPageBreaks="0"/>
  </sheetPr>
  <dimension ref="A1:G129"/>
  <sheetViews>
    <sheetView topLeftCell="A96" workbookViewId="0">
      <selection activeCell="F18" sqref="F18"/>
    </sheetView>
  </sheetViews>
  <sheetFormatPr defaultColWidth="9.14285714285714" defaultRowHeight="15" outlineLevelCol="6"/>
  <cols>
    <col min="1" max="1" width="26.8571428571429" customWidth="1"/>
    <col min="2" max="2" width="55.2857142857143" customWidth="1"/>
    <col min="3" max="3" width="29.1428571428571" customWidth="1"/>
    <col min="4" max="4" width="13.5714285714286" customWidth="1"/>
    <col min="6" max="6" width="29.2857142857143" customWidth="1"/>
    <col min="7" max="7" width="11.4285714285714" customWidth="1"/>
  </cols>
  <sheetData>
    <row r="1" spans="1:7">
      <c r="A1" s="56" t="s">
        <v>0</v>
      </c>
      <c r="B1" s="56"/>
      <c r="C1" s="56"/>
      <c r="D1" s="56"/>
      <c r="F1" s="57" t="s">
        <v>1</v>
      </c>
      <c r="G1" s="57"/>
    </row>
    <row r="2" spans="1:7">
      <c r="A2" s="38" t="s">
        <v>2</v>
      </c>
      <c r="B2" t="s">
        <v>3</v>
      </c>
      <c r="C2" s="38" t="s">
        <v>4</v>
      </c>
      <c r="D2" s="38" t="s">
        <v>5</v>
      </c>
      <c r="F2" t="s">
        <v>3</v>
      </c>
      <c r="G2" t="s">
        <v>5</v>
      </c>
    </row>
    <row r="3" spans="1:7">
      <c r="A3" s="38">
        <v>1</v>
      </c>
      <c r="B3" t="s">
        <v>6</v>
      </c>
      <c r="C3" s="38"/>
      <c r="D3" s="38" t="s">
        <v>7</v>
      </c>
      <c r="F3" t="s">
        <v>8</v>
      </c>
      <c r="G3" s="58">
        <v>4.15</v>
      </c>
    </row>
    <row r="4" spans="1:7">
      <c r="A4" s="38">
        <v>2</v>
      </c>
      <c r="B4" t="s">
        <v>9</v>
      </c>
      <c r="C4" s="38"/>
      <c r="D4" s="38" t="s">
        <v>174</v>
      </c>
      <c r="F4" t="s">
        <v>11</v>
      </c>
      <c r="G4" s="58">
        <v>16</v>
      </c>
    </row>
    <row r="5" spans="1:7">
      <c r="A5" s="38">
        <v>3</v>
      </c>
      <c r="B5" t="s">
        <v>12</v>
      </c>
      <c r="C5" s="38" t="s">
        <v>175</v>
      </c>
      <c r="D5" s="59">
        <v>1051.02</v>
      </c>
      <c r="F5" t="s">
        <v>14</v>
      </c>
      <c r="G5" s="60">
        <v>22</v>
      </c>
    </row>
    <row r="6" spans="1:7">
      <c r="A6" s="38">
        <v>4</v>
      </c>
      <c r="B6" t="s">
        <v>15</v>
      </c>
      <c r="C6" s="38" t="s">
        <v>176</v>
      </c>
      <c r="D6" s="38" t="s">
        <v>177</v>
      </c>
      <c r="F6" t="s">
        <v>18</v>
      </c>
      <c r="G6" s="61">
        <v>0.06</v>
      </c>
    </row>
    <row r="7" spans="1:7">
      <c r="A7" s="38">
        <v>5</v>
      </c>
      <c r="B7" t="s">
        <v>19</v>
      </c>
      <c r="C7" s="38"/>
      <c r="D7" s="38" t="s">
        <v>20</v>
      </c>
      <c r="F7" t="s">
        <v>178</v>
      </c>
      <c r="G7" s="62">
        <v>2</v>
      </c>
    </row>
    <row r="8" spans="6:7">
      <c r="F8" s="63" t="s">
        <v>179</v>
      </c>
      <c r="G8" s="64">
        <v>1045</v>
      </c>
    </row>
    <row r="9" spans="1:7">
      <c r="A9" s="65" t="s">
        <v>22</v>
      </c>
      <c r="B9" s="65"/>
      <c r="C9" s="65"/>
      <c r="D9" s="65"/>
      <c r="F9" s="66" t="s">
        <v>180</v>
      </c>
      <c r="G9" s="67"/>
    </row>
    <row r="10" spans="1:7">
      <c r="A10" s="38" t="s">
        <v>25</v>
      </c>
      <c r="B10" t="s">
        <v>26</v>
      </c>
      <c r="C10" s="38" t="s">
        <v>4</v>
      </c>
      <c r="D10" s="38" t="s">
        <v>5</v>
      </c>
      <c r="F10" s="68"/>
      <c r="G10" s="69"/>
    </row>
    <row r="11" spans="1:7">
      <c r="A11" s="38" t="s">
        <v>28</v>
      </c>
      <c r="B11" t="s">
        <v>29</v>
      </c>
      <c r="C11" s="38"/>
      <c r="D11" s="70">
        <f>D5</f>
        <v>1051.02</v>
      </c>
      <c r="F11" s="68"/>
      <c r="G11" s="69"/>
    </row>
    <row r="12" spans="1:7">
      <c r="A12" s="38" t="s">
        <v>31</v>
      </c>
      <c r="B12" t="s">
        <v>32</v>
      </c>
      <c r="C12" s="38"/>
      <c r="D12" s="70"/>
      <c r="F12" s="68"/>
      <c r="G12" s="69"/>
    </row>
    <row r="13" spans="1:7">
      <c r="A13" s="38" t="s">
        <v>34</v>
      </c>
      <c r="B13" t="s">
        <v>35</v>
      </c>
      <c r="C13" s="38" t="s">
        <v>181</v>
      </c>
      <c r="D13" s="70">
        <f>TRUNC(G8*40%,2)</f>
        <v>418</v>
      </c>
      <c r="F13" s="68"/>
      <c r="G13" s="69"/>
    </row>
    <row r="14" spans="1:7">
      <c r="A14" s="38" t="s">
        <v>36</v>
      </c>
      <c r="B14" t="s">
        <v>37</v>
      </c>
      <c r="C14" s="38"/>
      <c r="D14" s="70"/>
      <c r="F14" s="68"/>
      <c r="G14" s="69"/>
    </row>
    <row r="15" spans="1:7">
      <c r="A15" s="38" t="s">
        <v>39</v>
      </c>
      <c r="B15" t="s">
        <v>40</v>
      </c>
      <c r="C15" s="38"/>
      <c r="D15" s="70"/>
      <c r="F15" s="68"/>
      <c r="G15" s="69"/>
    </row>
    <row r="16" spans="1:7">
      <c r="A16" s="38" t="s">
        <v>41</v>
      </c>
      <c r="B16" t="s">
        <v>42</v>
      </c>
      <c r="C16" s="38"/>
      <c r="D16" s="70"/>
      <c r="F16" s="68"/>
      <c r="G16" s="69"/>
    </row>
    <row r="17" spans="1:7">
      <c r="A17" s="38" t="s">
        <v>44</v>
      </c>
      <c r="C17" s="38"/>
      <c r="D17" s="70">
        <f>TRUNC(SUM(D11:D16),2)</f>
        <v>1469.02</v>
      </c>
      <c r="F17" s="68"/>
      <c r="G17" s="69"/>
    </row>
    <row r="18" spans="6:7">
      <c r="F18" s="68"/>
      <c r="G18" s="69"/>
    </row>
    <row r="19" spans="1:7">
      <c r="A19" s="71" t="s">
        <v>47</v>
      </c>
      <c r="B19" s="71"/>
      <c r="C19" s="71"/>
      <c r="D19" s="71"/>
      <c r="F19" s="68"/>
      <c r="G19" s="69"/>
    </row>
    <row r="20" spans="1:7">
      <c r="A20" s="57" t="s">
        <v>49</v>
      </c>
      <c r="B20" s="57"/>
      <c r="C20" s="57"/>
      <c r="D20" s="57"/>
      <c r="F20" s="68"/>
      <c r="G20" s="69"/>
    </row>
    <row r="21" spans="1:7">
      <c r="A21" s="38" t="s">
        <v>51</v>
      </c>
      <c r="B21" t="s">
        <v>52</v>
      </c>
      <c r="C21" s="38" t="s">
        <v>4</v>
      </c>
      <c r="D21" s="38" t="s">
        <v>5</v>
      </c>
      <c r="F21" s="68"/>
      <c r="G21" s="69"/>
    </row>
    <row r="22" spans="1:7">
      <c r="A22" s="38" t="s">
        <v>28</v>
      </c>
      <c r="B22" t="s">
        <v>53</v>
      </c>
      <c r="C22" s="72">
        <f>(1/12)</f>
        <v>0.0833333333333333</v>
      </c>
      <c r="D22" s="70">
        <f>TRUNC($D$17*C22,2)</f>
        <v>122.41</v>
      </c>
      <c r="F22" s="68"/>
      <c r="G22" s="69"/>
    </row>
    <row r="23" spans="1:7">
      <c r="A23" s="38" t="s">
        <v>31</v>
      </c>
      <c r="B23" t="s">
        <v>55</v>
      </c>
      <c r="C23" s="72">
        <f>(((1+1/3)/12))</f>
        <v>0.111111111111111</v>
      </c>
      <c r="D23" s="70">
        <f>TRUNC($D$17*C23,2)</f>
        <v>163.22</v>
      </c>
      <c r="E23" s="73"/>
      <c r="F23" s="68"/>
      <c r="G23" s="69"/>
    </row>
    <row r="24" spans="1:7">
      <c r="A24" s="38" t="s">
        <v>44</v>
      </c>
      <c r="D24" s="70">
        <f>TRUNC(SUM(D22:D23),2)</f>
        <v>285.63</v>
      </c>
      <c r="F24" s="68"/>
      <c r="G24" s="69"/>
    </row>
    <row r="25" ht="15.75" spans="1:7">
      <c r="A25" s="38"/>
      <c r="D25" s="70"/>
      <c r="F25" s="68"/>
      <c r="G25" s="69"/>
    </row>
    <row r="26" ht="16.5" spans="1:7">
      <c r="A26" s="74" t="s">
        <v>182</v>
      </c>
      <c r="B26" s="74"/>
      <c r="C26" s="75" t="s">
        <v>183</v>
      </c>
      <c r="D26" s="76">
        <f>D17</f>
        <v>1469.02</v>
      </c>
      <c r="F26" s="77"/>
      <c r="G26" s="77"/>
    </row>
    <row r="27" ht="16.5" spans="1:7">
      <c r="A27" s="74"/>
      <c r="B27" s="74"/>
      <c r="C27" s="78" t="s">
        <v>184</v>
      </c>
      <c r="D27" s="76">
        <f>D24</f>
        <v>285.63</v>
      </c>
      <c r="F27" s="77"/>
      <c r="G27" s="77"/>
    </row>
    <row r="28" ht="16.5" spans="1:7">
      <c r="A28" s="74"/>
      <c r="B28" s="74"/>
      <c r="C28" s="75" t="s">
        <v>185</v>
      </c>
      <c r="D28" s="79">
        <f>TRUNC(SUM(D26:D27),2)</f>
        <v>1754.65</v>
      </c>
      <c r="F28" s="77"/>
      <c r="G28" s="77"/>
    </row>
    <row r="29" ht="15.75" spans="1:7">
      <c r="A29" s="38"/>
      <c r="B29" s="38"/>
      <c r="C29" s="80"/>
      <c r="F29" s="77"/>
      <c r="G29" s="77"/>
    </row>
    <row r="30" spans="1:4">
      <c r="A30" s="57" t="s">
        <v>66</v>
      </c>
      <c r="B30" s="57"/>
      <c r="C30" s="57"/>
      <c r="D30" s="57"/>
    </row>
    <row r="31" spans="1:4">
      <c r="A31" s="38" t="s">
        <v>67</v>
      </c>
      <c r="B31" t="s">
        <v>68</v>
      </c>
      <c r="C31" s="38" t="s">
        <v>24</v>
      </c>
      <c r="D31" s="38" t="s">
        <v>69</v>
      </c>
    </row>
    <row r="32" spans="1:4">
      <c r="A32" s="38" t="s">
        <v>28</v>
      </c>
      <c r="B32" t="s">
        <v>70</v>
      </c>
      <c r="C32" s="81">
        <v>0.2</v>
      </c>
      <c r="D32" s="70">
        <f t="shared" ref="D32:D39" si="0">TRUNC(($D$28*C32),2)</f>
        <v>350.93</v>
      </c>
    </row>
    <row r="33" spans="1:4">
      <c r="A33" s="38" t="s">
        <v>31</v>
      </c>
      <c r="B33" t="s">
        <v>71</v>
      </c>
      <c r="C33" s="81">
        <v>0.025</v>
      </c>
      <c r="D33" s="70">
        <f t="shared" si="0"/>
        <v>43.86</v>
      </c>
    </row>
    <row r="34" spans="1:4">
      <c r="A34" s="38" t="s">
        <v>34</v>
      </c>
      <c r="B34" t="s">
        <v>72</v>
      </c>
      <c r="C34" s="82">
        <v>0</v>
      </c>
      <c r="D34" s="83">
        <f t="shared" si="0"/>
        <v>0</v>
      </c>
    </row>
    <row r="35" spans="1:4">
      <c r="A35" s="38" t="s">
        <v>36</v>
      </c>
      <c r="B35" t="s">
        <v>73</v>
      </c>
      <c r="C35" s="81">
        <v>0.015</v>
      </c>
      <c r="D35" s="70">
        <f t="shared" si="0"/>
        <v>26.31</v>
      </c>
    </row>
    <row r="36" spans="1:4">
      <c r="A36" s="38" t="s">
        <v>39</v>
      </c>
      <c r="B36" t="s">
        <v>74</v>
      </c>
      <c r="C36" s="81">
        <v>0.01</v>
      </c>
      <c r="D36" s="70">
        <f t="shared" si="0"/>
        <v>17.54</v>
      </c>
    </row>
    <row r="37" spans="1:4">
      <c r="A37" s="38" t="s">
        <v>41</v>
      </c>
      <c r="B37" t="s">
        <v>75</v>
      </c>
      <c r="C37" s="81">
        <v>0.006</v>
      </c>
      <c r="D37" s="70">
        <f t="shared" si="0"/>
        <v>10.52</v>
      </c>
    </row>
    <row r="38" spans="1:4">
      <c r="A38" s="38" t="s">
        <v>76</v>
      </c>
      <c r="B38" t="s">
        <v>77</v>
      </c>
      <c r="C38" s="81">
        <v>0.002</v>
      </c>
      <c r="D38" s="70">
        <f t="shared" si="0"/>
        <v>3.5</v>
      </c>
    </row>
    <row r="39" spans="1:4">
      <c r="A39" s="38" t="s">
        <v>78</v>
      </c>
      <c r="B39" t="s">
        <v>79</v>
      </c>
      <c r="C39" s="81">
        <v>0.08</v>
      </c>
      <c r="D39" s="70">
        <f t="shared" si="0"/>
        <v>140.37</v>
      </c>
    </row>
    <row r="40" spans="1:4">
      <c r="A40" s="38" t="s">
        <v>44</v>
      </c>
      <c r="C40" s="84">
        <f>SUBTOTAL(109,Submódulo2.267_75136149163[Percentual])</f>
        <v>0.338</v>
      </c>
      <c r="D40" s="70">
        <f>TRUNC(SUM(D32:D39),2)</f>
        <v>593.03</v>
      </c>
    </row>
    <row r="41" spans="1:4">
      <c r="A41" s="38"/>
      <c r="C41" s="84"/>
      <c r="D41" s="70"/>
    </row>
    <row r="42" spans="1:4">
      <c r="A42" s="57" t="s">
        <v>84</v>
      </c>
      <c r="B42" s="57"/>
      <c r="C42" s="57"/>
      <c r="D42" s="57"/>
    </row>
    <row r="43" spans="1:4">
      <c r="A43" s="38" t="s">
        <v>85</v>
      </c>
      <c r="B43" t="s">
        <v>86</v>
      </c>
      <c r="C43" s="38" t="s">
        <v>4</v>
      </c>
      <c r="D43" s="38" t="s">
        <v>5</v>
      </c>
    </row>
    <row r="44" spans="1:4">
      <c r="A44" s="38" t="s">
        <v>28</v>
      </c>
      <c r="B44" t="s">
        <v>87</v>
      </c>
      <c r="D44" s="83">
        <v>0</v>
      </c>
    </row>
    <row r="45" spans="1:4">
      <c r="A45" s="38" t="s">
        <v>31</v>
      </c>
      <c r="B45" t="s">
        <v>88</v>
      </c>
      <c r="D45" s="83">
        <f>TRUNC((((G5*G4))-(((G5*G4))*0.2)),2)</f>
        <v>281.6</v>
      </c>
    </row>
    <row r="46" spans="1:4">
      <c r="A46" s="38" t="s">
        <v>34</v>
      </c>
      <c r="B46" t="s">
        <v>89</v>
      </c>
      <c r="C46" s="85" t="s">
        <v>176</v>
      </c>
      <c r="D46" s="83">
        <v>5</v>
      </c>
    </row>
    <row r="47" spans="1:4">
      <c r="A47" s="38" t="s">
        <v>36</v>
      </c>
      <c r="B47" t="s">
        <v>90</v>
      </c>
      <c r="C47" s="85" t="s">
        <v>176</v>
      </c>
      <c r="D47" s="83">
        <v>4</v>
      </c>
    </row>
    <row r="48" spans="1:4">
      <c r="A48" s="38" t="s">
        <v>39</v>
      </c>
      <c r="B48" t="s">
        <v>92</v>
      </c>
      <c r="C48" s="85" t="s">
        <v>176</v>
      </c>
      <c r="D48" s="83">
        <v>15</v>
      </c>
    </row>
    <row r="49" spans="1:4">
      <c r="A49" s="38" t="s">
        <v>44</v>
      </c>
      <c r="D49" s="70">
        <f>TRUNC(SUM(D44:D48),2)</f>
        <v>305.6</v>
      </c>
    </row>
    <row r="50" spans="1:4">
      <c r="A50" s="38"/>
      <c r="D50" s="70"/>
    </row>
    <row r="51" spans="1:4">
      <c r="A51" s="57" t="s">
        <v>98</v>
      </c>
      <c r="B51" s="57"/>
      <c r="C51" s="57"/>
      <c r="D51" s="57"/>
    </row>
    <row r="52" spans="1:4">
      <c r="A52" s="38" t="s">
        <v>99</v>
      </c>
      <c r="B52" t="s">
        <v>100</v>
      </c>
      <c r="C52" s="38" t="s">
        <v>4</v>
      </c>
      <c r="D52" s="38" t="s">
        <v>5</v>
      </c>
    </row>
    <row r="53" spans="1:4">
      <c r="A53" s="38" t="s">
        <v>51</v>
      </c>
      <c r="B53" t="s">
        <v>52</v>
      </c>
      <c r="C53" s="38"/>
      <c r="D53" s="70">
        <f>D24</f>
        <v>285.63</v>
      </c>
    </row>
    <row r="54" spans="1:4">
      <c r="A54" s="38" t="s">
        <v>67</v>
      </c>
      <c r="B54" t="s">
        <v>68</v>
      </c>
      <c r="C54" s="38"/>
      <c r="D54" s="70">
        <f>D40</f>
        <v>593.03</v>
      </c>
    </row>
    <row r="55" spans="1:4">
      <c r="A55" s="38" t="s">
        <v>85</v>
      </c>
      <c r="B55" t="s">
        <v>86</v>
      </c>
      <c r="C55" s="38"/>
      <c r="D55" s="70">
        <f>D49</f>
        <v>305.6</v>
      </c>
    </row>
    <row r="56" spans="1:4">
      <c r="A56" s="38" t="s">
        <v>44</v>
      </c>
      <c r="C56" s="38"/>
      <c r="D56" s="70">
        <f>TRUNC(SUM(D53:D55),2)</f>
        <v>1184.26</v>
      </c>
    </row>
    <row r="58" spans="1:4">
      <c r="A58" s="65" t="s">
        <v>101</v>
      </c>
      <c r="B58" s="65"/>
      <c r="C58" s="65"/>
      <c r="D58" s="65"/>
    </row>
    <row r="59" spans="1:4">
      <c r="A59" s="38" t="s">
        <v>102</v>
      </c>
      <c r="B59" t="s">
        <v>103</v>
      </c>
      <c r="C59" s="38" t="s">
        <v>4</v>
      </c>
      <c r="D59" s="38" t="s">
        <v>5</v>
      </c>
    </row>
    <row r="60" spans="1:4">
      <c r="A60" s="38" t="s">
        <v>28</v>
      </c>
      <c r="B60" s="86" t="s">
        <v>104</v>
      </c>
      <c r="C60" s="87">
        <f>((1/12)*0.05)</f>
        <v>0.00416666666666667</v>
      </c>
      <c r="D60" s="88">
        <f>TRUNC(($D$17*C60),2)</f>
        <v>6.12</v>
      </c>
    </row>
    <row r="61" spans="1:4">
      <c r="A61" s="38" t="s">
        <v>31</v>
      </c>
      <c r="B61" s="86" t="s">
        <v>105</v>
      </c>
      <c r="C61" s="72">
        <v>0.08</v>
      </c>
      <c r="D61" s="44">
        <f>TRUNC(D60*C61,2)</f>
        <v>0.48</v>
      </c>
    </row>
    <row r="62" ht="30" spans="1:4">
      <c r="A62" s="38" t="s">
        <v>34</v>
      </c>
      <c r="B62" s="86" t="s">
        <v>106</v>
      </c>
      <c r="C62" s="87">
        <f>(0.08*0.4*0.05)</f>
        <v>0.0016</v>
      </c>
      <c r="D62" s="88">
        <f>TRUNC(($D$17*C62),2)</f>
        <v>2.35</v>
      </c>
    </row>
    <row r="63" spans="1:4">
      <c r="A63" s="38" t="s">
        <v>36</v>
      </c>
      <c r="B63" s="86" t="s">
        <v>107</v>
      </c>
      <c r="C63" s="72">
        <f>(((7/30)/12)*0.95)</f>
        <v>0.0184722222222222</v>
      </c>
      <c r="D63" s="44">
        <f>TRUNC(($D$17*C63),2)</f>
        <v>27.13</v>
      </c>
    </row>
    <row r="64" ht="30" spans="1:4">
      <c r="A64" s="38" t="s">
        <v>39</v>
      </c>
      <c r="B64" s="86" t="s">
        <v>186</v>
      </c>
      <c r="C64" s="72">
        <f>C40</f>
        <v>0.338</v>
      </c>
      <c r="D64" s="44">
        <f>TRUNC(D63*C64,2)</f>
        <v>9.16</v>
      </c>
    </row>
    <row r="65" ht="30" spans="1:4">
      <c r="A65" s="38" t="s">
        <v>41</v>
      </c>
      <c r="B65" s="86" t="s">
        <v>108</v>
      </c>
      <c r="C65" s="87">
        <f>(0.08*0.4*0.95)</f>
        <v>0.0304</v>
      </c>
      <c r="D65" s="88">
        <f>TRUNC(($D$17*C65),2)</f>
        <v>44.65</v>
      </c>
    </row>
    <row r="66" spans="1:4">
      <c r="A66" s="38" t="s">
        <v>44</v>
      </c>
      <c r="D66" s="70">
        <f>TRUNC(SUM(D60:D65),2)</f>
        <v>89.89</v>
      </c>
    </row>
    <row r="67" ht="15.75" spans="1:4">
      <c r="A67" s="38"/>
      <c r="D67" s="70"/>
    </row>
    <row r="68" ht="16.5" spans="1:4">
      <c r="A68" s="74" t="s">
        <v>187</v>
      </c>
      <c r="B68" s="74"/>
      <c r="C68" s="75" t="s">
        <v>183</v>
      </c>
      <c r="D68" s="76">
        <f>D17</f>
        <v>1469.02</v>
      </c>
    </row>
    <row r="69" ht="16.5" spans="1:4">
      <c r="A69" s="74"/>
      <c r="B69" s="74"/>
      <c r="C69" s="78" t="s">
        <v>188</v>
      </c>
      <c r="D69" s="76">
        <f>D56</f>
        <v>1184.26</v>
      </c>
    </row>
    <row r="70" ht="16.5" spans="1:4">
      <c r="A70" s="74"/>
      <c r="B70" s="74"/>
      <c r="C70" s="75" t="s">
        <v>189</v>
      </c>
      <c r="D70" s="76">
        <f>D66</f>
        <v>89.89</v>
      </c>
    </row>
    <row r="71" ht="16.5" spans="1:4">
      <c r="A71" s="74"/>
      <c r="B71" s="74"/>
      <c r="C71" s="78" t="s">
        <v>185</v>
      </c>
      <c r="D71" s="79">
        <f>TRUNC((SUM(D68:D70)),2)</f>
        <v>2743.17</v>
      </c>
    </row>
    <row r="72" ht="15.75" spans="1:4">
      <c r="A72" s="38"/>
      <c r="D72" s="70"/>
    </row>
    <row r="73" spans="1:4">
      <c r="A73" s="89" t="s">
        <v>120</v>
      </c>
      <c r="B73" s="71"/>
      <c r="C73" s="71"/>
      <c r="D73" s="71"/>
    </row>
    <row r="74" spans="1:4">
      <c r="A74" s="90" t="s">
        <v>121</v>
      </c>
      <c r="B74" s="90"/>
      <c r="C74" s="90"/>
      <c r="D74" s="90"/>
    </row>
    <row r="75" spans="1:4">
      <c r="A75" s="38" t="s">
        <v>122</v>
      </c>
      <c r="B75" t="s">
        <v>123</v>
      </c>
      <c r="C75" s="38" t="s">
        <v>124</v>
      </c>
      <c r="D75" s="38" t="s">
        <v>5</v>
      </c>
    </row>
    <row r="76" spans="1:5">
      <c r="A76" s="38" t="s">
        <v>28</v>
      </c>
      <c r="B76" s="86" t="s">
        <v>125</v>
      </c>
      <c r="C76" s="87">
        <f>((1+1/3)/12)/12</f>
        <v>0.00925925925925926</v>
      </c>
      <c r="D76" s="70">
        <f t="shared" ref="D76:D81" si="1">TRUNC(($D$71*C76),2)</f>
        <v>25.39</v>
      </c>
      <c r="E76" s="73"/>
    </row>
    <row r="77" spans="1:5">
      <c r="A77" s="38" t="s">
        <v>31</v>
      </c>
      <c r="B77" s="86" t="s">
        <v>126</v>
      </c>
      <c r="C77" s="87">
        <f>((2/30)/12)</f>
        <v>0.00555555555555556</v>
      </c>
      <c r="D77" s="70">
        <f t="shared" si="1"/>
        <v>15.23</v>
      </c>
      <c r="E77" s="73"/>
    </row>
    <row r="78" spans="1:5">
      <c r="A78" s="38" t="s">
        <v>34</v>
      </c>
      <c r="B78" s="86" t="s">
        <v>127</v>
      </c>
      <c r="C78" s="87">
        <f>((5/30)/12)*0.02</f>
        <v>0.000277777777777778</v>
      </c>
      <c r="D78" s="91">
        <f t="shared" si="1"/>
        <v>0.76</v>
      </c>
      <c r="E78" s="73"/>
    </row>
    <row r="79" spans="1:5">
      <c r="A79" s="38" t="s">
        <v>36</v>
      </c>
      <c r="B79" s="86" t="s">
        <v>128</v>
      </c>
      <c r="C79" s="87">
        <f>((15/30)/12)*0.08</f>
        <v>0.00333333333333333</v>
      </c>
      <c r="D79" s="92">
        <f t="shared" si="1"/>
        <v>9.14</v>
      </c>
      <c r="E79" s="73"/>
    </row>
    <row r="80" spans="1:5">
      <c r="A80" s="38" t="s">
        <v>39</v>
      </c>
      <c r="B80" s="86" t="s">
        <v>129</v>
      </c>
      <c r="C80" s="87">
        <f>((1+1/3)/12)*0.03*((4/12))</f>
        <v>0.00111111111111111</v>
      </c>
      <c r="D80" s="92">
        <f t="shared" si="1"/>
        <v>3.04</v>
      </c>
      <c r="E80" s="73"/>
    </row>
    <row r="81" spans="1:5">
      <c r="A81" s="38" t="s">
        <v>41</v>
      </c>
      <c r="B81" s="86" t="s">
        <v>190</v>
      </c>
      <c r="C81" s="87">
        <v>0</v>
      </c>
      <c r="D81" s="92">
        <f t="shared" si="1"/>
        <v>0</v>
      </c>
      <c r="E81" s="73"/>
    </row>
    <row r="82" spans="1:4">
      <c r="A82" s="38" t="s">
        <v>44</v>
      </c>
      <c r="C82" s="93">
        <f>SUBTOTAL(109,Submódulo4.12511_4132144159[Dias de ausência])</f>
        <v>0.019537037037037</v>
      </c>
      <c r="D82" s="70">
        <f>TRUNC(SUM(D76:D81),2)</f>
        <v>53.56</v>
      </c>
    </row>
    <row r="83" spans="1:4">
      <c r="A83" s="38"/>
      <c r="C83" s="38"/>
      <c r="D83" s="70"/>
    </row>
    <row r="84" spans="1:4">
      <c r="A84" s="57" t="s">
        <v>140</v>
      </c>
      <c r="B84" s="57"/>
      <c r="C84" s="57"/>
      <c r="D84" s="57"/>
    </row>
    <row r="85" spans="1:4">
      <c r="A85" s="38" t="s">
        <v>141</v>
      </c>
      <c r="B85" t="s">
        <v>142</v>
      </c>
      <c r="C85" s="38" t="s">
        <v>4</v>
      </c>
      <c r="D85" s="38" t="s">
        <v>5</v>
      </c>
    </row>
    <row r="86" spans="1:4">
      <c r="A86" s="38" t="s">
        <v>28</v>
      </c>
      <c r="B86" t="s">
        <v>143</v>
      </c>
      <c r="C86" s="38"/>
      <c r="D86" s="70"/>
    </row>
    <row r="87" spans="1:4">
      <c r="A87" s="38" t="s">
        <v>44</v>
      </c>
      <c r="C87" s="38"/>
      <c r="D87" s="70">
        <f>SUBTOTAL(109,Submódulo4.22612_31129147158[Valor])</f>
        <v>0</v>
      </c>
    </row>
    <row r="89" spans="1:4">
      <c r="A89" s="90" t="s">
        <v>144</v>
      </c>
      <c r="B89" s="90"/>
      <c r="C89" s="90"/>
      <c r="D89" s="90"/>
    </row>
    <row r="90" spans="1:4">
      <c r="A90" s="38" t="s">
        <v>145</v>
      </c>
      <c r="B90" t="s">
        <v>146</v>
      </c>
      <c r="C90" s="38" t="s">
        <v>4</v>
      </c>
      <c r="D90" s="38" t="s">
        <v>5</v>
      </c>
    </row>
    <row r="91" spans="1:4">
      <c r="A91" s="38" t="s">
        <v>122</v>
      </c>
      <c r="B91" t="s">
        <v>123</v>
      </c>
      <c r="D91" s="70">
        <f>D82</f>
        <v>53.56</v>
      </c>
    </row>
    <row r="92" spans="1:4">
      <c r="A92" s="38" t="s">
        <v>141</v>
      </c>
      <c r="B92" t="s">
        <v>147</v>
      </c>
      <c r="D92" s="70">
        <f>Submódulo4.22612_31129147158[[#Totals],[Valor]]</f>
        <v>0</v>
      </c>
    </row>
    <row r="93" spans="1:4">
      <c r="A93" s="38" t="s">
        <v>44</v>
      </c>
      <c r="D93" s="70">
        <f>TRUNC(SUM(D91:D92),2)</f>
        <v>53.56</v>
      </c>
    </row>
    <row r="95" spans="1:4">
      <c r="A95" s="65" t="s">
        <v>148</v>
      </c>
      <c r="B95" s="65"/>
      <c r="C95" s="65"/>
      <c r="D95" s="65"/>
    </row>
    <row r="96" spans="1:4">
      <c r="A96" s="38" t="s">
        <v>149</v>
      </c>
      <c r="B96" t="s">
        <v>150</v>
      </c>
      <c r="C96" s="38" t="s">
        <v>4</v>
      </c>
      <c r="D96" s="38" t="s">
        <v>5</v>
      </c>
    </row>
    <row r="97" spans="1:4">
      <c r="A97" s="38" t="s">
        <v>28</v>
      </c>
      <c r="B97" t="s">
        <v>191</v>
      </c>
      <c r="D97" s="94">
        <f>'Uniformes EPI EPC'!F15</f>
        <v>0</v>
      </c>
    </row>
    <row r="98" spans="1:4">
      <c r="A98" s="38" t="s">
        <v>31</v>
      </c>
      <c r="B98" t="s">
        <v>152</v>
      </c>
      <c r="D98" s="94">
        <f>Materiais!F70</f>
        <v>0</v>
      </c>
    </row>
    <row r="99" spans="1:4">
      <c r="A99" s="38" t="s">
        <v>34</v>
      </c>
      <c r="B99" t="s">
        <v>153</v>
      </c>
      <c r="D99" s="94">
        <f>Equipamentos!F10</f>
        <v>0</v>
      </c>
    </row>
    <row r="100" spans="1:4">
      <c r="A100" s="38" t="s">
        <v>36</v>
      </c>
      <c r="B100" t="s">
        <v>192</v>
      </c>
      <c r="D100" s="94">
        <f>'Uniformes EPI EPC'!F31</f>
        <v>0</v>
      </c>
    </row>
    <row r="101" spans="1:4">
      <c r="A101" s="38" t="s">
        <v>44</v>
      </c>
      <c r="D101" s="70">
        <f>TRUNC(SUM(D97:D100),2)</f>
        <v>0</v>
      </c>
    </row>
    <row r="102" ht="15.75" spans="1:4">
      <c r="A102" s="38"/>
      <c r="D102" s="70"/>
    </row>
    <row r="103" ht="16.5" spans="1:4">
      <c r="A103" s="74" t="s">
        <v>193</v>
      </c>
      <c r="B103" s="74"/>
      <c r="C103" s="75" t="s">
        <v>183</v>
      </c>
      <c r="D103" s="76">
        <f>D17</f>
        <v>1469.02</v>
      </c>
    </row>
    <row r="104" ht="16.5" spans="1:4">
      <c r="A104" s="74"/>
      <c r="B104" s="74"/>
      <c r="C104" s="78" t="s">
        <v>188</v>
      </c>
      <c r="D104" s="76">
        <f>D56</f>
        <v>1184.26</v>
      </c>
    </row>
    <row r="105" ht="16.5" spans="1:4">
      <c r="A105" s="74"/>
      <c r="B105" s="74"/>
      <c r="C105" s="75" t="s">
        <v>189</v>
      </c>
      <c r="D105" s="76">
        <f>D66</f>
        <v>89.89</v>
      </c>
    </row>
    <row r="106" ht="16.5" spans="1:4">
      <c r="A106" s="74"/>
      <c r="B106" s="74"/>
      <c r="C106" s="78" t="s">
        <v>194</v>
      </c>
      <c r="D106" s="76">
        <f>D93</f>
        <v>53.56</v>
      </c>
    </row>
    <row r="107" ht="16.5" spans="1:4">
      <c r="A107" s="74"/>
      <c r="B107" s="74"/>
      <c r="C107" s="75" t="s">
        <v>195</v>
      </c>
      <c r="D107" s="76">
        <f>D101</f>
        <v>0</v>
      </c>
    </row>
    <row r="108" ht="16.5" spans="1:4">
      <c r="A108" s="74"/>
      <c r="B108" s="74"/>
      <c r="C108" s="78" t="s">
        <v>185</v>
      </c>
      <c r="D108" s="79">
        <f>TRUNC((SUM(D103:D107)),2)</f>
        <v>2796.73</v>
      </c>
    </row>
    <row r="109" ht="15.75" spans="1:4">
      <c r="A109" s="38"/>
      <c r="D109" s="70"/>
    </row>
    <row r="110" ht="15.75" spans="1:7">
      <c r="A110" s="65" t="s">
        <v>160</v>
      </c>
      <c r="B110" s="65"/>
      <c r="C110" s="65"/>
      <c r="D110" s="65"/>
      <c r="F110" s="95" t="s">
        <v>196</v>
      </c>
      <c r="G110" s="95"/>
    </row>
    <row r="111" ht="15.75" spans="1:7">
      <c r="A111" s="38" t="s">
        <v>161</v>
      </c>
      <c r="B111" t="s">
        <v>162</v>
      </c>
      <c r="C111" s="38" t="s">
        <v>24</v>
      </c>
      <c r="D111" s="38" t="s">
        <v>5</v>
      </c>
      <c r="F111" s="96" t="s">
        <v>197</v>
      </c>
      <c r="G111" s="97">
        <f>C114</f>
        <v>0.0865</v>
      </c>
    </row>
    <row r="112" ht="15.75" spans="1:7">
      <c r="A112" s="38" t="s">
        <v>28</v>
      </c>
      <c r="B112" t="s">
        <v>163</v>
      </c>
      <c r="C112" s="82">
        <v>0</v>
      </c>
      <c r="D112" s="83">
        <f>TRUNC(($D$108*C112),2)</f>
        <v>0</v>
      </c>
      <c r="F112" s="98" t="s">
        <v>198</v>
      </c>
      <c r="G112" s="99">
        <f>TRUNC(SUM(D108,D112,D113),2)</f>
        <v>2796.73</v>
      </c>
    </row>
    <row r="113" ht="15.75" spans="1:7">
      <c r="A113" s="38" t="s">
        <v>31</v>
      </c>
      <c r="B113" t="s">
        <v>45</v>
      </c>
      <c r="C113" s="82">
        <v>0</v>
      </c>
      <c r="D113" s="83">
        <f>TRUNC((D108+D112)*C113,2)</f>
        <v>0</v>
      </c>
      <c r="F113" s="96" t="s">
        <v>199</v>
      </c>
      <c r="G113" s="100">
        <f>(100-8.65)/100</f>
        <v>0.9135</v>
      </c>
    </row>
    <row r="114" ht="15.75" spans="1:7">
      <c r="A114" s="38" t="s">
        <v>34</v>
      </c>
      <c r="B114" t="s">
        <v>164</v>
      </c>
      <c r="C114" s="82">
        <f>SUM(C115:C117)</f>
        <v>0.0865</v>
      </c>
      <c r="D114" s="83">
        <f>SUM(D115:D117)</f>
        <v>264.81</v>
      </c>
      <c r="F114" s="98" t="s">
        <v>196</v>
      </c>
      <c r="G114" s="99">
        <f>TRUNC((G112/G113),2)</f>
        <v>3061.55</v>
      </c>
    </row>
    <row r="115" ht="15.75" spans="1:4">
      <c r="A115" s="38" t="s">
        <v>165</v>
      </c>
      <c r="B115" t="s">
        <v>46</v>
      </c>
      <c r="C115" s="82">
        <v>0.0065</v>
      </c>
      <c r="D115" s="83">
        <f t="shared" ref="D115:D117" si="2">TRUNC(($G$114*C115),2)</f>
        <v>19.9</v>
      </c>
    </row>
    <row r="116" spans="1:4">
      <c r="A116" s="38" t="s">
        <v>166</v>
      </c>
      <c r="B116" t="s">
        <v>48</v>
      </c>
      <c r="C116" s="82">
        <v>0.03</v>
      </c>
      <c r="D116" s="83">
        <f t="shared" si="2"/>
        <v>91.84</v>
      </c>
    </row>
    <row r="117" spans="1:4">
      <c r="A117" s="38" t="s">
        <v>167</v>
      </c>
      <c r="B117" t="s">
        <v>50</v>
      </c>
      <c r="C117" s="82">
        <v>0.05</v>
      </c>
      <c r="D117" s="83">
        <f t="shared" si="2"/>
        <v>153.07</v>
      </c>
    </row>
    <row r="118" spans="1:4">
      <c r="A118" s="38" t="s">
        <v>44</v>
      </c>
      <c r="C118" s="101"/>
      <c r="D118" s="70">
        <f>TRUNC(SUM(D112:D114),2)</f>
        <v>264.81</v>
      </c>
    </row>
    <row r="119" spans="1:4">
      <c r="A119" s="38"/>
      <c r="C119" s="101"/>
      <c r="D119" s="70"/>
    </row>
    <row r="120" spans="1:4">
      <c r="A120" s="65" t="s">
        <v>168</v>
      </c>
      <c r="B120" s="65"/>
      <c r="C120" s="65"/>
      <c r="D120" s="65"/>
    </row>
    <row r="121" spans="1:4">
      <c r="A121" s="38" t="s">
        <v>2</v>
      </c>
      <c r="B121" s="38" t="s">
        <v>169</v>
      </c>
      <c r="C121" s="38" t="s">
        <v>95</v>
      </c>
      <c r="D121" s="38" t="s">
        <v>5</v>
      </c>
    </row>
    <row r="122" spans="1:4">
      <c r="A122" s="38" t="s">
        <v>28</v>
      </c>
      <c r="B122" t="s">
        <v>22</v>
      </c>
      <c r="D122" s="70">
        <f>D17</f>
        <v>1469.02</v>
      </c>
    </row>
    <row r="123" spans="1:4">
      <c r="A123" s="38" t="s">
        <v>31</v>
      </c>
      <c r="B123" t="s">
        <v>47</v>
      </c>
      <c r="D123" s="70">
        <f>D56</f>
        <v>1184.26</v>
      </c>
    </row>
    <row r="124" spans="1:4">
      <c r="A124" s="38" t="s">
        <v>34</v>
      </c>
      <c r="B124" t="s">
        <v>101</v>
      </c>
      <c r="D124" s="70">
        <f>D66</f>
        <v>89.89</v>
      </c>
    </row>
    <row r="125" spans="1:4">
      <c r="A125" s="38" t="s">
        <v>36</v>
      </c>
      <c r="B125" t="s">
        <v>170</v>
      </c>
      <c r="D125" s="70">
        <f>D93</f>
        <v>53.56</v>
      </c>
    </row>
    <row r="126" spans="1:4">
      <c r="A126" s="38" t="s">
        <v>39</v>
      </c>
      <c r="B126" t="s">
        <v>148</v>
      </c>
      <c r="D126" s="70">
        <f>D101</f>
        <v>0</v>
      </c>
    </row>
    <row r="127" spans="1:4">
      <c r="A127" t="s">
        <v>171</v>
      </c>
      <c r="D127" s="70">
        <f>TRUNC(SUM(D122:D126),2)</f>
        <v>2796.73</v>
      </c>
    </row>
    <row r="128" spans="1:4">
      <c r="A128" s="38" t="s">
        <v>41</v>
      </c>
      <c r="B128" t="s">
        <v>160</v>
      </c>
      <c r="D128" s="70">
        <f>D118</f>
        <v>264.81</v>
      </c>
    </row>
    <row r="129" spans="1:4">
      <c r="A129" s="102" t="s">
        <v>172</v>
      </c>
      <c r="B129" s="50"/>
      <c r="C129" s="50"/>
      <c r="D129" s="103">
        <f>TRUNC((SUM(D122:D126)+D128),2)</f>
        <v>3061.54</v>
      </c>
    </row>
  </sheetData>
  <mergeCells count="20">
    <mergeCell ref="A1:D1"/>
    <mergeCell ref="F1:G1"/>
    <mergeCell ref="A9:D9"/>
    <mergeCell ref="A19:D19"/>
    <mergeCell ref="A20:D20"/>
    <mergeCell ref="A30:D30"/>
    <mergeCell ref="A42:D42"/>
    <mergeCell ref="A51:D51"/>
    <mergeCell ref="A58:D58"/>
    <mergeCell ref="A73:D73"/>
    <mergeCell ref="A74:D74"/>
    <mergeCell ref="A84:D84"/>
    <mergeCell ref="A89:D89"/>
    <mergeCell ref="A95:D95"/>
    <mergeCell ref="A110:D110"/>
    <mergeCell ref="F110:G110"/>
    <mergeCell ref="A120:D120"/>
    <mergeCell ref="A26:B28"/>
    <mergeCell ref="A68:B71"/>
    <mergeCell ref="A103:B108"/>
  </mergeCells>
  <pageMargins left="0.75" right="0.75" top="1" bottom="1" header="0.5" footer="0.5"/>
  <pageSetup paperSize="9" orientation="landscape"/>
  <headerFooter/>
  <legacyDrawing r:id="rId2"/>
  <tableParts count="14">
    <tablePart r:id="rId3"/>
    <tablePart r:id="rId4"/>
    <tablePart r:id="rId5"/>
    <tablePart r:id="rId6"/>
    <tablePart r:id="rId7"/>
    <tablePart r:id="rId8"/>
    <tablePart r:id="rId9"/>
    <tablePart r:id="rId10"/>
    <tablePart r:id="rId11"/>
    <tablePart r:id="rId12"/>
    <tablePart r:id="rId13"/>
    <tablePart r:id="rId14"/>
    <tablePart r:id="rId15"/>
    <tablePart r:id="rId16"/>
  </tablePart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2:F70"/>
  <sheetViews>
    <sheetView workbookViewId="0">
      <selection activeCell="I67" sqref="I67"/>
    </sheetView>
  </sheetViews>
  <sheetFormatPr defaultColWidth="9" defaultRowHeight="15" outlineLevelCol="5"/>
  <cols>
    <col min="1" max="1" width="8.71428571428571" style="38" customWidth="1"/>
    <col min="2" max="2" width="60.1428571428571" customWidth="1"/>
    <col min="3" max="3" width="9.57142857142857" customWidth="1"/>
    <col min="4" max="4" width="10.2857142857143" customWidth="1"/>
    <col min="5" max="5" width="13" customWidth="1"/>
    <col min="6" max="6" width="13.2857142857143" customWidth="1"/>
  </cols>
  <sheetData>
    <row r="2" spans="1:6">
      <c r="A2" s="24" t="s">
        <v>200</v>
      </c>
      <c r="B2" s="24"/>
      <c r="C2" s="24"/>
      <c r="D2" s="24"/>
      <c r="E2" s="24"/>
      <c r="F2" s="24"/>
    </row>
    <row r="3" ht="60" spans="1:6">
      <c r="A3" s="39" t="s">
        <v>201</v>
      </c>
      <c r="B3" s="39" t="s">
        <v>202</v>
      </c>
      <c r="C3" s="39" t="s">
        <v>203</v>
      </c>
      <c r="D3" s="39" t="s">
        <v>204</v>
      </c>
      <c r="E3" s="39" t="s">
        <v>205</v>
      </c>
      <c r="F3" s="39" t="s">
        <v>206</v>
      </c>
    </row>
    <row r="4" ht="135" spans="1:6">
      <c r="A4" s="40">
        <v>1</v>
      </c>
      <c r="B4" s="41" t="s">
        <v>207</v>
      </c>
      <c r="C4" s="39" t="s">
        <v>208</v>
      </c>
      <c r="D4" s="42">
        <v>0</v>
      </c>
      <c r="E4" s="43">
        <v>50</v>
      </c>
      <c r="F4" s="44">
        <f>TRUNC(E4*D4,2)</f>
        <v>0</v>
      </c>
    </row>
    <row r="5" ht="51" spans="1:6">
      <c r="A5" s="40">
        <v>2</v>
      </c>
      <c r="B5" s="45" t="s">
        <v>209</v>
      </c>
      <c r="C5" s="39" t="s">
        <v>208</v>
      </c>
      <c r="D5" s="42">
        <v>0</v>
      </c>
      <c r="E5" s="43">
        <v>50</v>
      </c>
      <c r="F5" s="44">
        <f t="shared" ref="F5:F49" si="0">TRUNC(E5*D5,2)</f>
        <v>0</v>
      </c>
    </row>
    <row r="6" ht="51" spans="1:6">
      <c r="A6" s="40">
        <v>3</v>
      </c>
      <c r="B6" s="45" t="s">
        <v>210</v>
      </c>
      <c r="C6" s="39" t="s">
        <v>208</v>
      </c>
      <c r="D6" s="42">
        <v>0</v>
      </c>
      <c r="E6" s="43">
        <v>30</v>
      </c>
      <c r="F6" s="44">
        <f t="shared" si="0"/>
        <v>0</v>
      </c>
    </row>
    <row r="7" ht="76.5" spans="1:6">
      <c r="A7" s="40">
        <v>4</v>
      </c>
      <c r="B7" s="45" t="s">
        <v>211</v>
      </c>
      <c r="C7" s="39" t="s">
        <v>208</v>
      </c>
      <c r="D7" s="42">
        <v>0</v>
      </c>
      <c r="E7" s="43">
        <v>6</v>
      </c>
      <c r="F7" s="44">
        <f t="shared" si="0"/>
        <v>0</v>
      </c>
    </row>
    <row r="8" ht="63.75" spans="1:6">
      <c r="A8" s="40">
        <v>5</v>
      </c>
      <c r="B8" s="45" t="s">
        <v>212</v>
      </c>
      <c r="C8" s="39" t="s">
        <v>208</v>
      </c>
      <c r="D8" s="42">
        <v>0</v>
      </c>
      <c r="E8" s="43">
        <v>4</v>
      </c>
      <c r="F8" s="44">
        <f t="shared" si="0"/>
        <v>0</v>
      </c>
    </row>
    <row r="9" ht="38.25" spans="1:6">
      <c r="A9" s="40">
        <v>6</v>
      </c>
      <c r="B9" s="45" t="s">
        <v>213</v>
      </c>
      <c r="C9" s="39" t="s">
        <v>208</v>
      </c>
      <c r="D9" s="42">
        <v>0</v>
      </c>
      <c r="E9" s="43">
        <v>6</v>
      </c>
      <c r="F9" s="44">
        <f t="shared" si="0"/>
        <v>0</v>
      </c>
    </row>
    <row r="10" ht="38.25" spans="1:6">
      <c r="A10" s="40">
        <v>7</v>
      </c>
      <c r="B10" s="45" t="s">
        <v>214</v>
      </c>
      <c r="C10" s="39" t="s">
        <v>208</v>
      </c>
      <c r="D10" s="42">
        <v>0</v>
      </c>
      <c r="E10" s="43">
        <v>50</v>
      </c>
      <c r="F10" s="44">
        <f t="shared" si="0"/>
        <v>0</v>
      </c>
    </row>
    <row r="11" ht="51" spans="1:6">
      <c r="A11" s="40">
        <v>8</v>
      </c>
      <c r="B11" s="45" t="s">
        <v>215</v>
      </c>
      <c r="C11" s="39" t="s">
        <v>208</v>
      </c>
      <c r="D11" s="42">
        <v>0</v>
      </c>
      <c r="E11" s="43">
        <v>4</v>
      </c>
      <c r="F11" s="44">
        <f t="shared" si="0"/>
        <v>0</v>
      </c>
    </row>
    <row r="12" ht="63.75" spans="1:6">
      <c r="A12" s="40">
        <v>9</v>
      </c>
      <c r="B12" s="45" t="s">
        <v>216</v>
      </c>
      <c r="C12" s="39" t="s">
        <v>208</v>
      </c>
      <c r="D12" s="42">
        <v>0</v>
      </c>
      <c r="E12" s="43">
        <v>4</v>
      </c>
      <c r="F12" s="44">
        <f t="shared" si="0"/>
        <v>0</v>
      </c>
    </row>
    <row r="13" ht="63.75" spans="1:6">
      <c r="A13" s="40">
        <v>10</v>
      </c>
      <c r="B13" s="45" t="s">
        <v>217</v>
      </c>
      <c r="C13" s="39" t="s">
        <v>208</v>
      </c>
      <c r="D13" s="42">
        <v>0</v>
      </c>
      <c r="E13" s="43">
        <v>50</v>
      </c>
      <c r="F13" s="44">
        <f t="shared" si="0"/>
        <v>0</v>
      </c>
    </row>
    <row r="14" ht="51" spans="1:6">
      <c r="A14" s="40">
        <v>11</v>
      </c>
      <c r="B14" s="45" t="s">
        <v>218</v>
      </c>
      <c r="C14" s="39" t="s">
        <v>208</v>
      </c>
      <c r="D14" s="42">
        <v>0</v>
      </c>
      <c r="E14" s="43">
        <v>50</v>
      </c>
      <c r="F14" s="44">
        <f t="shared" si="0"/>
        <v>0</v>
      </c>
    </row>
    <row r="15" ht="76.5" spans="1:6">
      <c r="A15" s="40">
        <v>12</v>
      </c>
      <c r="B15" s="45" t="s">
        <v>219</v>
      </c>
      <c r="C15" s="39" t="s">
        <v>208</v>
      </c>
      <c r="D15" s="42">
        <v>0</v>
      </c>
      <c r="E15" s="43">
        <v>50</v>
      </c>
      <c r="F15" s="44">
        <f t="shared" si="0"/>
        <v>0</v>
      </c>
    </row>
    <row r="16" ht="51" spans="1:6">
      <c r="A16" s="40">
        <v>13</v>
      </c>
      <c r="B16" s="45" t="s">
        <v>220</v>
      </c>
      <c r="C16" s="39" t="s">
        <v>208</v>
      </c>
      <c r="D16" s="42">
        <v>0</v>
      </c>
      <c r="E16" s="43">
        <v>12</v>
      </c>
      <c r="F16" s="44">
        <f t="shared" si="0"/>
        <v>0</v>
      </c>
    </row>
    <row r="17" ht="89.25" spans="1:6">
      <c r="A17" s="40">
        <v>14</v>
      </c>
      <c r="B17" s="45" t="s">
        <v>221</v>
      </c>
      <c r="C17" s="39" t="s">
        <v>208</v>
      </c>
      <c r="D17" s="42">
        <v>0</v>
      </c>
      <c r="E17" s="43">
        <v>36</v>
      </c>
      <c r="F17" s="44">
        <f t="shared" si="0"/>
        <v>0</v>
      </c>
    </row>
    <row r="18" ht="38.25" spans="1:6">
      <c r="A18" s="40">
        <v>15</v>
      </c>
      <c r="B18" s="45" t="s">
        <v>222</v>
      </c>
      <c r="C18" s="39" t="s">
        <v>208</v>
      </c>
      <c r="D18" s="42">
        <v>0</v>
      </c>
      <c r="E18" s="43">
        <v>24</v>
      </c>
      <c r="F18" s="44">
        <f t="shared" si="0"/>
        <v>0</v>
      </c>
    </row>
    <row r="19" ht="25.5" spans="1:6">
      <c r="A19" s="40">
        <v>16</v>
      </c>
      <c r="B19" s="45" t="s">
        <v>223</v>
      </c>
      <c r="C19" s="39" t="s">
        <v>208</v>
      </c>
      <c r="D19" s="42">
        <v>0</v>
      </c>
      <c r="E19" s="43">
        <v>24</v>
      </c>
      <c r="F19" s="44">
        <f t="shared" si="0"/>
        <v>0</v>
      </c>
    </row>
    <row r="20" ht="25.5" spans="1:6">
      <c r="A20" s="40">
        <v>17</v>
      </c>
      <c r="B20" s="45" t="s">
        <v>224</v>
      </c>
      <c r="C20" s="39" t="s">
        <v>208</v>
      </c>
      <c r="D20" s="42">
        <v>0</v>
      </c>
      <c r="E20" s="43">
        <v>12</v>
      </c>
      <c r="F20" s="44">
        <f t="shared" si="0"/>
        <v>0</v>
      </c>
    </row>
    <row r="21" ht="25.5" spans="1:6">
      <c r="A21" s="40">
        <v>18</v>
      </c>
      <c r="B21" s="45" t="s">
        <v>225</v>
      </c>
      <c r="C21" s="39" t="s">
        <v>208</v>
      </c>
      <c r="D21" s="42">
        <v>0</v>
      </c>
      <c r="E21" s="43">
        <v>36</v>
      </c>
      <c r="F21" s="44">
        <f t="shared" si="0"/>
        <v>0</v>
      </c>
    </row>
    <row r="22" ht="63.75" spans="1:6">
      <c r="A22" s="40">
        <v>19</v>
      </c>
      <c r="B22" s="45" t="s">
        <v>226</v>
      </c>
      <c r="C22" s="39" t="s">
        <v>208</v>
      </c>
      <c r="D22" s="42">
        <v>0</v>
      </c>
      <c r="E22" s="43">
        <v>220</v>
      </c>
      <c r="F22" s="44">
        <f t="shared" si="0"/>
        <v>0</v>
      </c>
    </row>
    <row r="23" ht="63.75" spans="1:6">
      <c r="A23" s="40">
        <v>20</v>
      </c>
      <c r="B23" s="45" t="s">
        <v>227</v>
      </c>
      <c r="C23" s="39" t="s">
        <v>208</v>
      </c>
      <c r="D23" s="42">
        <v>0</v>
      </c>
      <c r="E23" s="43">
        <v>200</v>
      </c>
      <c r="F23" s="44">
        <f t="shared" si="0"/>
        <v>0</v>
      </c>
    </row>
    <row r="24" ht="51" spans="1:6">
      <c r="A24" s="40">
        <v>21</v>
      </c>
      <c r="B24" s="45" t="s">
        <v>228</v>
      </c>
      <c r="C24" s="39" t="s">
        <v>208</v>
      </c>
      <c r="D24" s="42">
        <v>0</v>
      </c>
      <c r="E24" s="43">
        <v>12</v>
      </c>
      <c r="F24" s="44">
        <f t="shared" si="0"/>
        <v>0</v>
      </c>
    </row>
    <row r="25" ht="38.25" spans="1:6">
      <c r="A25" s="40">
        <v>22</v>
      </c>
      <c r="B25" s="45" t="s">
        <v>229</v>
      </c>
      <c r="C25" s="39" t="s">
        <v>208</v>
      </c>
      <c r="D25" s="42">
        <v>0</v>
      </c>
      <c r="E25" s="43">
        <v>12</v>
      </c>
      <c r="F25" s="44">
        <f t="shared" si="0"/>
        <v>0</v>
      </c>
    </row>
    <row r="26" ht="38.25" spans="1:6">
      <c r="A26" s="40">
        <v>23</v>
      </c>
      <c r="B26" s="45" t="s">
        <v>230</v>
      </c>
      <c r="C26" s="39" t="s">
        <v>208</v>
      </c>
      <c r="D26" s="42">
        <v>0</v>
      </c>
      <c r="E26" s="43">
        <v>60</v>
      </c>
      <c r="F26" s="44">
        <f t="shared" si="0"/>
        <v>0</v>
      </c>
    </row>
    <row r="27" ht="51" spans="1:6">
      <c r="A27" s="40">
        <v>24</v>
      </c>
      <c r="B27" s="45" t="s">
        <v>231</v>
      </c>
      <c r="C27" s="39" t="s">
        <v>208</v>
      </c>
      <c r="D27" s="42">
        <v>0</v>
      </c>
      <c r="E27" s="43">
        <v>24</v>
      </c>
      <c r="F27" s="44">
        <f t="shared" si="0"/>
        <v>0</v>
      </c>
    </row>
    <row r="28" ht="63.75" spans="1:6">
      <c r="A28" s="40">
        <v>25</v>
      </c>
      <c r="B28" s="45" t="s">
        <v>232</v>
      </c>
      <c r="C28" s="39" t="s">
        <v>208</v>
      </c>
      <c r="D28" s="42">
        <v>0</v>
      </c>
      <c r="E28" s="43">
        <v>4</v>
      </c>
      <c r="F28" s="44">
        <f t="shared" ref="F28:F67" si="1">TRUNC(E28*D28,2)</f>
        <v>0</v>
      </c>
    </row>
    <row r="29" ht="38.25" spans="1:6">
      <c r="A29" s="40">
        <v>26</v>
      </c>
      <c r="B29" s="45" t="s">
        <v>233</v>
      </c>
      <c r="C29" s="39" t="s">
        <v>208</v>
      </c>
      <c r="D29" s="42">
        <v>0</v>
      </c>
      <c r="E29" s="43">
        <v>24</v>
      </c>
      <c r="F29" s="44">
        <f t="shared" si="1"/>
        <v>0</v>
      </c>
    </row>
    <row r="30" ht="38.25" spans="1:6">
      <c r="A30" s="40">
        <v>27</v>
      </c>
      <c r="B30" s="45" t="s">
        <v>234</v>
      </c>
      <c r="C30" s="39" t="s">
        <v>208</v>
      </c>
      <c r="D30" s="42">
        <v>0</v>
      </c>
      <c r="E30" s="43">
        <v>12</v>
      </c>
      <c r="F30" s="44">
        <f t="shared" si="1"/>
        <v>0</v>
      </c>
    </row>
    <row r="31" ht="38.25" spans="1:6">
      <c r="A31" s="40">
        <v>28</v>
      </c>
      <c r="B31" s="45" t="s">
        <v>235</v>
      </c>
      <c r="C31" s="39" t="s">
        <v>208</v>
      </c>
      <c r="D31" s="42">
        <v>0</v>
      </c>
      <c r="E31" s="43">
        <v>10</v>
      </c>
      <c r="F31" s="44">
        <f t="shared" si="1"/>
        <v>0</v>
      </c>
    </row>
    <row r="32" ht="38.25" spans="1:6">
      <c r="A32" s="40">
        <v>29</v>
      </c>
      <c r="B32" s="45" t="s">
        <v>236</v>
      </c>
      <c r="C32" s="39" t="s">
        <v>208</v>
      </c>
      <c r="D32" s="42">
        <v>0</v>
      </c>
      <c r="E32" s="43">
        <v>10</v>
      </c>
      <c r="F32" s="44">
        <f t="shared" si="1"/>
        <v>0</v>
      </c>
    </row>
    <row r="33" ht="38.25" spans="1:6">
      <c r="A33" s="40">
        <v>30</v>
      </c>
      <c r="B33" s="45" t="s">
        <v>237</v>
      </c>
      <c r="C33" s="39" t="s">
        <v>208</v>
      </c>
      <c r="D33" s="42">
        <v>0</v>
      </c>
      <c r="E33" s="43">
        <v>10</v>
      </c>
      <c r="F33" s="44">
        <f t="shared" si="1"/>
        <v>0</v>
      </c>
    </row>
    <row r="34" ht="38.25" spans="1:6">
      <c r="A34" s="40">
        <v>31</v>
      </c>
      <c r="B34" s="45" t="s">
        <v>238</v>
      </c>
      <c r="C34" s="39" t="s">
        <v>208</v>
      </c>
      <c r="D34" s="42">
        <v>0</v>
      </c>
      <c r="E34" s="43">
        <v>10</v>
      </c>
      <c r="F34" s="44">
        <f t="shared" si="1"/>
        <v>0</v>
      </c>
    </row>
    <row r="35" ht="38.25" spans="1:6">
      <c r="A35" s="40">
        <v>32</v>
      </c>
      <c r="B35" s="45" t="s">
        <v>239</v>
      </c>
      <c r="C35" s="39" t="s">
        <v>208</v>
      </c>
      <c r="D35" s="42">
        <v>0</v>
      </c>
      <c r="E35" s="43">
        <v>3</v>
      </c>
      <c r="F35" s="44">
        <f t="shared" si="1"/>
        <v>0</v>
      </c>
    </row>
    <row r="36" ht="38.25" spans="1:6">
      <c r="A36" s="40">
        <v>33</v>
      </c>
      <c r="B36" s="45" t="s">
        <v>240</v>
      </c>
      <c r="C36" s="39" t="s">
        <v>208</v>
      </c>
      <c r="D36" s="42">
        <v>0</v>
      </c>
      <c r="E36" s="43">
        <v>6</v>
      </c>
      <c r="F36" s="44">
        <f t="shared" si="1"/>
        <v>0</v>
      </c>
    </row>
    <row r="37" ht="51" spans="1:6">
      <c r="A37" s="40">
        <v>34</v>
      </c>
      <c r="B37" s="45" t="s">
        <v>241</v>
      </c>
      <c r="C37" s="39" t="s">
        <v>208</v>
      </c>
      <c r="D37" s="42">
        <v>0</v>
      </c>
      <c r="E37" s="43">
        <v>6</v>
      </c>
      <c r="F37" s="44">
        <f t="shared" si="1"/>
        <v>0</v>
      </c>
    </row>
    <row r="38" ht="38.25" spans="1:6">
      <c r="A38" s="40">
        <v>35</v>
      </c>
      <c r="B38" s="45" t="s">
        <v>242</v>
      </c>
      <c r="C38" s="39" t="s">
        <v>208</v>
      </c>
      <c r="D38" s="42">
        <v>0</v>
      </c>
      <c r="E38" s="43">
        <v>6</v>
      </c>
      <c r="F38" s="44">
        <f t="shared" si="1"/>
        <v>0</v>
      </c>
    </row>
    <row r="39" ht="25.5" spans="1:6">
      <c r="A39" s="40">
        <v>36</v>
      </c>
      <c r="B39" s="45" t="s">
        <v>243</v>
      </c>
      <c r="C39" s="39" t="s">
        <v>208</v>
      </c>
      <c r="D39" s="42">
        <v>0</v>
      </c>
      <c r="E39" s="43">
        <v>12</v>
      </c>
      <c r="F39" s="44">
        <f t="shared" si="1"/>
        <v>0</v>
      </c>
    </row>
    <row r="40" ht="25.5" spans="1:6">
      <c r="A40" s="40">
        <v>37</v>
      </c>
      <c r="B40" s="45" t="s">
        <v>244</v>
      </c>
      <c r="C40" s="39" t="s">
        <v>208</v>
      </c>
      <c r="D40" s="42">
        <v>0</v>
      </c>
      <c r="E40" s="43">
        <v>6</v>
      </c>
      <c r="F40" s="44">
        <f t="shared" si="1"/>
        <v>0</v>
      </c>
    </row>
    <row r="41" ht="56" customHeight="1" spans="1:6">
      <c r="A41" s="40">
        <v>38</v>
      </c>
      <c r="B41" s="45" t="s">
        <v>245</v>
      </c>
      <c r="C41" s="39" t="s">
        <v>208</v>
      </c>
      <c r="D41" s="42">
        <v>0</v>
      </c>
      <c r="E41" s="43">
        <v>12</v>
      </c>
      <c r="F41" s="44">
        <f t="shared" si="1"/>
        <v>0</v>
      </c>
    </row>
    <row r="42" ht="38.25" spans="1:6">
      <c r="A42" s="40">
        <v>39</v>
      </c>
      <c r="B42" s="45" t="s">
        <v>246</v>
      </c>
      <c r="C42" s="39" t="s">
        <v>208</v>
      </c>
      <c r="D42" s="42">
        <v>0</v>
      </c>
      <c r="E42" s="43">
        <v>2</v>
      </c>
      <c r="F42" s="44">
        <f t="shared" si="1"/>
        <v>0</v>
      </c>
    </row>
    <row r="43" ht="25.5" spans="1:6">
      <c r="A43" s="40">
        <v>40</v>
      </c>
      <c r="B43" s="45" t="s">
        <v>247</v>
      </c>
      <c r="C43" s="39" t="s">
        <v>208</v>
      </c>
      <c r="D43" s="42">
        <v>0</v>
      </c>
      <c r="E43" s="43">
        <v>2</v>
      </c>
      <c r="F43" s="44">
        <f t="shared" si="1"/>
        <v>0</v>
      </c>
    </row>
    <row r="44" ht="63.75" spans="1:6">
      <c r="A44" s="40">
        <v>41</v>
      </c>
      <c r="B44" s="45" t="s">
        <v>248</v>
      </c>
      <c r="C44" s="39" t="s">
        <v>208</v>
      </c>
      <c r="D44" s="42">
        <v>0</v>
      </c>
      <c r="E44" s="43">
        <v>1</v>
      </c>
      <c r="F44" s="44">
        <f t="shared" si="1"/>
        <v>0</v>
      </c>
    </row>
    <row r="45" ht="38.25" spans="1:6">
      <c r="A45" s="40">
        <v>42</v>
      </c>
      <c r="B45" s="45" t="s">
        <v>249</v>
      </c>
      <c r="C45" s="39" t="s">
        <v>208</v>
      </c>
      <c r="D45" s="42">
        <v>0</v>
      </c>
      <c r="E45" s="43">
        <v>6</v>
      </c>
      <c r="F45" s="44">
        <f t="shared" si="1"/>
        <v>0</v>
      </c>
    </row>
    <row r="46" ht="38.25" spans="1:6">
      <c r="A46" s="40">
        <v>43</v>
      </c>
      <c r="B46" s="45" t="s">
        <v>250</v>
      </c>
      <c r="C46" s="39" t="s">
        <v>208</v>
      </c>
      <c r="D46" s="42">
        <v>0</v>
      </c>
      <c r="E46" s="43">
        <v>6</v>
      </c>
      <c r="F46" s="44">
        <f t="shared" si="1"/>
        <v>0</v>
      </c>
    </row>
    <row r="47" ht="25.5" spans="1:6">
      <c r="A47" s="40">
        <v>44</v>
      </c>
      <c r="B47" s="45" t="s">
        <v>251</v>
      </c>
      <c r="C47" s="39" t="s">
        <v>208</v>
      </c>
      <c r="D47" s="42">
        <v>0</v>
      </c>
      <c r="E47" s="43">
        <v>6</v>
      </c>
      <c r="F47" s="44">
        <f t="shared" si="1"/>
        <v>0</v>
      </c>
    </row>
    <row r="48" ht="51" spans="1:6">
      <c r="A48" s="40">
        <v>45</v>
      </c>
      <c r="B48" s="45" t="s">
        <v>252</v>
      </c>
      <c r="C48" s="39" t="s">
        <v>208</v>
      </c>
      <c r="D48" s="42">
        <v>0</v>
      </c>
      <c r="E48" s="43">
        <v>2</v>
      </c>
      <c r="F48" s="44">
        <f t="shared" si="1"/>
        <v>0</v>
      </c>
    </row>
    <row r="49" ht="51" spans="1:6">
      <c r="A49" s="40">
        <v>46</v>
      </c>
      <c r="B49" s="45" t="s">
        <v>253</v>
      </c>
      <c r="C49" s="39" t="s">
        <v>208</v>
      </c>
      <c r="D49" s="42">
        <v>0</v>
      </c>
      <c r="E49" s="43">
        <v>4</v>
      </c>
      <c r="F49" s="44">
        <f t="shared" si="1"/>
        <v>0</v>
      </c>
    </row>
    <row r="50" ht="38.25" spans="1:6">
      <c r="A50" s="40">
        <v>47</v>
      </c>
      <c r="B50" s="45" t="s">
        <v>254</v>
      </c>
      <c r="C50" s="39" t="s">
        <v>208</v>
      </c>
      <c r="D50" s="42">
        <v>0</v>
      </c>
      <c r="E50" s="43">
        <v>2</v>
      </c>
      <c r="F50" s="44">
        <f t="shared" si="1"/>
        <v>0</v>
      </c>
    </row>
    <row r="51" ht="38.25" spans="1:6">
      <c r="A51" s="40">
        <v>48</v>
      </c>
      <c r="B51" s="45" t="s">
        <v>255</v>
      </c>
      <c r="C51" s="39" t="s">
        <v>208</v>
      </c>
      <c r="D51" s="42">
        <v>0</v>
      </c>
      <c r="E51" s="43">
        <v>3</v>
      </c>
      <c r="F51" s="44">
        <f t="shared" si="1"/>
        <v>0</v>
      </c>
    </row>
    <row r="52" ht="51" spans="1:6">
      <c r="A52" s="40">
        <v>49</v>
      </c>
      <c r="B52" s="45" t="s">
        <v>256</v>
      </c>
      <c r="C52" s="39" t="s">
        <v>208</v>
      </c>
      <c r="D52" s="42">
        <v>0</v>
      </c>
      <c r="E52" s="43">
        <v>3</v>
      </c>
      <c r="F52" s="44">
        <f t="shared" si="1"/>
        <v>0</v>
      </c>
    </row>
    <row r="53" ht="38.25" spans="1:6">
      <c r="A53" s="40">
        <v>50</v>
      </c>
      <c r="B53" s="45" t="s">
        <v>257</v>
      </c>
      <c r="C53" s="39" t="s">
        <v>208</v>
      </c>
      <c r="D53" s="42">
        <v>0</v>
      </c>
      <c r="E53" s="43">
        <v>3</v>
      </c>
      <c r="F53" s="44">
        <f t="shared" si="1"/>
        <v>0</v>
      </c>
    </row>
    <row r="54" ht="51" spans="1:6">
      <c r="A54" s="40">
        <v>51</v>
      </c>
      <c r="B54" s="45" t="s">
        <v>258</v>
      </c>
      <c r="C54" s="39" t="s">
        <v>208</v>
      </c>
      <c r="D54" s="42">
        <v>0</v>
      </c>
      <c r="E54" s="43">
        <v>2</v>
      </c>
      <c r="F54" s="44">
        <f t="shared" si="1"/>
        <v>0</v>
      </c>
    </row>
    <row r="55" ht="51" spans="1:6">
      <c r="A55" s="40">
        <v>52</v>
      </c>
      <c r="B55" s="45" t="s">
        <v>259</v>
      </c>
      <c r="C55" s="39" t="s">
        <v>208</v>
      </c>
      <c r="D55" s="42">
        <v>0</v>
      </c>
      <c r="E55" s="43">
        <v>2</v>
      </c>
      <c r="F55" s="44">
        <f t="shared" si="1"/>
        <v>0</v>
      </c>
    </row>
    <row r="56" ht="51" spans="1:6">
      <c r="A56" s="40">
        <v>53</v>
      </c>
      <c r="B56" s="45" t="s">
        <v>260</v>
      </c>
      <c r="C56" s="39" t="s">
        <v>208</v>
      </c>
      <c r="D56" s="42">
        <v>0</v>
      </c>
      <c r="E56" s="43">
        <v>2</v>
      </c>
      <c r="F56" s="44">
        <f t="shared" si="1"/>
        <v>0</v>
      </c>
    </row>
    <row r="57" ht="38.25" spans="1:6">
      <c r="A57" s="40">
        <v>54</v>
      </c>
      <c r="B57" s="45" t="s">
        <v>261</v>
      </c>
      <c r="C57" s="39" t="s">
        <v>208</v>
      </c>
      <c r="D57" s="42">
        <v>0</v>
      </c>
      <c r="E57" s="43">
        <v>12</v>
      </c>
      <c r="F57" s="44">
        <f t="shared" si="1"/>
        <v>0</v>
      </c>
    </row>
    <row r="58" ht="51" spans="1:6">
      <c r="A58" s="40">
        <v>55</v>
      </c>
      <c r="B58" s="45" t="s">
        <v>262</v>
      </c>
      <c r="C58" s="39" t="s">
        <v>208</v>
      </c>
      <c r="D58" s="42">
        <v>0</v>
      </c>
      <c r="E58" s="43">
        <v>4</v>
      </c>
      <c r="F58" s="44">
        <f t="shared" si="1"/>
        <v>0</v>
      </c>
    </row>
    <row r="59" ht="25.5" spans="1:6">
      <c r="A59" s="40">
        <v>56</v>
      </c>
      <c r="B59" s="45" t="s">
        <v>263</v>
      </c>
      <c r="C59" s="39" t="s">
        <v>208</v>
      </c>
      <c r="D59" s="42">
        <v>0</v>
      </c>
      <c r="E59" s="43">
        <v>6</v>
      </c>
      <c r="F59" s="44">
        <f t="shared" si="1"/>
        <v>0</v>
      </c>
    </row>
    <row r="60" ht="25.5" spans="1:6">
      <c r="A60" s="40">
        <v>57</v>
      </c>
      <c r="B60" s="45" t="s">
        <v>264</v>
      </c>
      <c r="C60" s="39" t="s">
        <v>208</v>
      </c>
      <c r="D60" s="42">
        <v>0</v>
      </c>
      <c r="E60" s="43">
        <v>10</v>
      </c>
      <c r="F60" s="44">
        <f t="shared" si="1"/>
        <v>0</v>
      </c>
    </row>
    <row r="61" ht="25.5" spans="1:6">
      <c r="A61" s="40">
        <v>58</v>
      </c>
      <c r="B61" s="45" t="s">
        <v>265</v>
      </c>
      <c r="C61" s="39" t="s">
        <v>208</v>
      </c>
      <c r="D61" s="42">
        <v>0</v>
      </c>
      <c r="E61" s="43">
        <v>12</v>
      </c>
      <c r="F61" s="44">
        <f t="shared" si="1"/>
        <v>0</v>
      </c>
    </row>
    <row r="62" ht="25.5" spans="1:6">
      <c r="A62" s="40">
        <v>59</v>
      </c>
      <c r="B62" s="45" t="s">
        <v>266</v>
      </c>
      <c r="C62" s="39" t="s">
        <v>208</v>
      </c>
      <c r="D62" s="42">
        <v>0</v>
      </c>
      <c r="E62" s="43">
        <v>6</v>
      </c>
      <c r="F62" s="44">
        <f t="shared" si="1"/>
        <v>0</v>
      </c>
    </row>
    <row r="63" ht="38.25" spans="1:6">
      <c r="A63" s="40">
        <v>60</v>
      </c>
      <c r="B63" s="45" t="s">
        <v>267</v>
      </c>
      <c r="C63" s="39" t="s">
        <v>208</v>
      </c>
      <c r="D63" s="42">
        <v>0</v>
      </c>
      <c r="E63" s="43">
        <v>6</v>
      </c>
      <c r="F63" s="44">
        <f t="shared" si="1"/>
        <v>0</v>
      </c>
    </row>
    <row r="64" ht="51" spans="1:6">
      <c r="A64" s="40">
        <v>61</v>
      </c>
      <c r="B64" s="45" t="s">
        <v>268</v>
      </c>
      <c r="C64" s="39" t="s">
        <v>208</v>
      </c>
      <c r="D64" s="42">
        <v>0</v>
      </c>
      <c r="E64" s="43">
        <v>1</v>
      </c>
      <c r="F64" s="44">
        <f t="shared" si="1"/>
        <v>0</v>
      </c>
    </row>
    <row r="65" ht="51" spans="1:6">
      <c r="A65" s="40">
        <v>62</v>
      </c>
      <c r="B65" s="45" t="s">
        <v>269</v>
      </c>
      <c r="C65" s="39" t="s">
        <v>208</v>
      </c>
      <c r="D65" s="42">
        <v>0</v>
      </c>
      <c r="E65" s="43">
        <v>1</v>
      </c>
      <c r="F65" s="44">
        <f t="shared" si="1"/>
        <v>0</v>
      </c>
    </row>
    <row r="66" ht="51" spans="1:6">
      <c r="A66" s="40">
        <v>63</v>
      </c>
      <c r="B66" s="45" t="s">
        <v>270</v>
      </c>
      <c r="C66" s="39" t="s">
        <v>208</v>
      </c>
      <c r="D66" s="42">
        <v>0</v>
      </c>
      <c r="E66" s="43">
        <v>14</v>
      </c>
      <c r="F66" s="44">
        <f t="shared" si="1"/>
        <v>0</v>
      </c>
    </row>
    <row r="67" ht="51.75" spans="1:6">
      <c r="A67" s="40">
        <v>64</v>
      </c>
      <c r="B67" s="45" t="s">
        <v>271</v>
      </c>
      <c r="C67" s="39" t="s">
        <v>208</v>
      </c>
      <c r="D67" s="42">
        <v>0</v>
      </c>
      <c r="E67" s="43">
        <v>14</v>
      </c>
      <c r="F67" s="44">
        <f t="shared" si="1"/>
        <v>0</v>
      </c>
    </row>
    <row r="68" ht="15.75" spans="1:6">
      <c r="A68" s="46" t="s">
        <v>44</v>
      </c>
      <c r="B68" s="46"/>
      <c r="C68" s="46"/>
      <c r="D68" s="46"/>
      <c r="E68" s="46"/>
      <c r="F68" s="47">
        <f>TRUNC(SUM(F4:F67),2)</f>
        <v>0</v>
      </c>
    </row>
    <row r="69" spans="1:6">
      <c r="A69" s="48"/>
      <c r="B69" s="49" t="s">
        <v>272</v>
      </c>
      <c r="C69" s="50"/>
      <c r="D69" s="50"/>
      <c r="E69" s="50"/>
      <c r="F69" s="51">
        <f>TRUNC(F68/'ASG com Insalubridade (40%)'!G7,2)</f>
        <v>0</v>
      </c>
    </row>
    <row r="70" spans="1:6">
      <c r="A70" s="52"/>
      <c r="B70" s="53" t="s">
        <v>273</v>
      </c>
      <c r="C70" s="54"/>
      <c r="D70" s="50"/>
      <c r="E70" s="50"/>
      <c r="F70" s="55">
        <f>TRUNC(F69/12,2)</f>
        <v>0</v>
      </c>
    </row>
  </sheetData>
  <mergeCells count="1">
    <mergeCell ref="A2:F2"/>
  </mergeCells>
  <pageMargins left="0.7" right="0.7" top="0.75" bottom="0.75" header="0.3" footer="0.3"/>
  <headerFooter/>
  <tableParts count="1">
    <tablePart r:id="rId1"/>
  </tableParts>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31"/>
  <sheetViews>
    <sheetView topLeftCell="A14" workbookViewId="0">
      <selection activeCell="M22" sqref="M22"/>
    </sheetView>
  </sheetViews>
  <sheetFormatPr defaultColWidth="9.14285714285714" defaultRowHeight="15" outlineLevelCol="5"/>
  <cols>
    <col min="2" max="2" width="30.8571428571429" customWidth="1"/>
    <col min="3" max="3" width="11.4285714285714" customWidth="1"/>
    <col min="4" max="4" width="11.1428571428571" customWidth="1"/>
    <col min="5" max="5" width="14.1428571428571" customWidth="1"/>
    <col min="6" max="6" width="15.2857142857143" customWidth="1"/>
  </cols>
  <sheetData>
    <row r="1" spans="1:6">
      <c r="A1" s="24" t="s">
        <v>274</v>
      </c>
      <c r="B1" s="24"/>
      <c r="C1" s="24"/>
      <c r="D1" s="24"/>
      <c r="E1" s="24"/>
      <c r="F1" s="24"/>
    </row>
    <row r="2" ht="60.75" spans="1:6">
      <c r="A2" s="2" t="s">
        <v>201</v>
      </c>
      <c r="B2" s="2" t="s">
        <v>202</v>
      </c>
      <c r="C2" s="2" t="s">
        <v>203</v>
      </c>
      <c r="D2" s="2" t="s">
        <v>275</v>
      </c>
      <c r="E2" s="2" t="s">
        <v>205</v>
      </c>
      <c r="F2" s="2" t="s">
        <v>206</v>
      </c>
    </row>
    <row r="3" ht="75.75" spans="1:6">
      <c r="A3" s="4">
        <v>1</v>
      </c>
      <c r="B3" s="25" t="s">
        <v>276</v>
      </c>
      <c r="C3" s="6" t="s">
        <v>208</v>
      </c>
      <c r="D3" s="7">
        <v>0</v>
      </c>
      <c r="E3" s="6">
        <v>4</v>
      </c>
      <c r="F3" s="8">
        <f t="shared" ref="F3:F22" si="0">TRUNC(E3*D3,2)</f>
        <v>0</v>
      </c>
    </row>
    <row r="4" ht="75.75" spans="1:6">
      <c r="A4" s="9">
        <v>2</v>
      </c>
      <c r="B4" s="26" t="s">
        <v>277</v>
      </c>
      <c r="C4" s="11" t="s">
        <v>208</v>
      </c>
      <c r="D4" s="12">
        <v>0</v>
      </c>
      <c r="E4" s="11">
        <v>4</v>
      </c>
      <c r="F4" s="13">
        <f t="shared" si="0"/>
        <v>0</v>
      </c>
    </row>
    <row r="5" ht="120.75" spans="1:6">
      <c r="A5" s="4">
        <v>3</v>
      </c>
      <c r="B5" s="25" t="s">
        <v>278</v>
      </c>
      <c r="C5" s="6" t="s">
        <v>208</v>
      </c>
      <c r="D5" s="7">
        <v>0</v>
      </c>
      <c r="E5" s="6">
        <v>2</v>
      </c>
      <c r="F5" s="8">
        <f t="shared" si="0"/>
        <v>0</v>
      </c>
    </row>
    <row r="6" ht="75.75" spans="1:6">
      <c r="A6" s="9">
        <v>4</v>
      </c>
      <c r="B6" s="26" t="s">
        <v>279</v>
      </c>
      <c r="C6" s="11" t="s">
        <v>208</v>
      </c>
      <c r="D6" s="12">
        <v>0</v>
      </c>
      <c r="E6" s="11">
        <v>2</v>
      </c>
      <c r="F6" s="13">
        <f t="shared" si="0"/>
        <v>0</v>
      </c>
    </row>
    <row r="7" ht="120.75" spans="1:6">
      <c r="A7" s="4">
        <v>5</v>
      </c>
      <c r="B7" s="25" t="s">
        <v>280</v>
      </c>
      <c r="C7" s="6" t="s">
        <v>208</v>
      </c>
      <c r="D7" s="7">
        <v>0</v>
      </c>
      <c r="E7" s="6">
        <v>1</v>
      </c>
      <c r="F7" s="8">
        <f t="shared" si="0"/>
        <v>0</v>
      </c>
    </row>
    <row r="8" ht="60.75" spans="1:6">
      <c r="A8" s="9">
        <v>6</v>
      </c>
      <c r="B8" s="26" t="s">
        <v>281</v>
      </c>
      <c r="C8" s="11" t="s">
        <v>208</v>
      </c>
      <c r="D8" s="12">
        <v>0</v>
      </c>
      <c r="E8" s="11">
        <v>4</v>
      </c>
      <c r="F8" s="13">
        <f t="shared" si="0"/>
        <v>0</v>
      </c>
    </row>
    <row r="9" ht="60.75" spans="1:6">
      <c r="A9" s="4">
        <v>7</v>
      </c>
      <c r="B9" s="25" t="s">
        <v>282</v>
      </c>
      <c r="C9" s="6" t="s">
        <v>208</v>
      </c>
      <c r="D9" s="7">
        <v>0</v>
      </c>
      <c r="E9" s="6">
        <v>1</v>
      </c>
      <c r="F9" s="8">
        <f t="shared" si="0"/>
        <v>0</v>
      </c>
    </row>
    <row r="10" ht="75.75" spans="1:6">
      <c r="A10" s="9">
        <v>8</v>
      </c>
      <c r="B10" s="26" t="s">
        <v>283</v>
      </c>
      <c r="C10" s="11" t="s">
        <v>208</v>
      </c>
      <c r="D10" s="12">
        <v>0</v>
      </c>
      <c r="E10" s="11">
        <v>2</v>
      </c>
      <c r="F10" s="13">
        <f t="shared" si="0"/>
        <v>0</v>
      </c>
    </row>
    <row r="11" ht="30.75" spans="1:6">
      <c r="A11" s="4">
        <v>9</v>
      </c>
      <c r="B11" s="25" t="s">
        <v>284</v>
      </c>
      <c r="C11" s="6" t="s">
        <v>208</v>
      </c>
      <c r="D11" s="7">
        <v>0</v>
      </c>
      <c r="E11" s="6">
        <v>4</v>
      </c>
      <c r="F11" s="8">
        <f t="shared" si="0"/>
        <v>0</v>
      </c>
    </row>
    <row r="12" ht="135.75" spans="1:6">
      <c r="A12" s="9">
        <v>10</v>
      </c>
      <c r="B12" s="26" t="s">
        <v>285</v>
      </c>
      <c r="C12" s="11" t="s">
        <v>208</v>
      </c>
      <c r="D12" s="12">
        <v>0</v>
      </c>
      <c r="E12" s="11">
        <v>4</v>
      </c>
      <c r="F12" s="13">
        <f t="shared" si="0"/>
        <v>0</v>
      </c>
    </row>
    <row r="13" ht="46.5" spans="1:6">
      <c r="A13" s="4">
        <v>11</v>
      </c>
      <c r="B13" s="25" t="s">
        <v>286</v>
      </c>
      <c r="C13" s="6" t="s">
        <v>208</v>
      </c>
      <c r="D13" s="7">
        <v>0</v>
      </c>
      <c r="E13" s="6">
        <v>2</v>
      </c>
      <c r="F13" s="8">
        <f t="shared" si="0"/>
        <v>0</v>
      </c>
    </row>
    <row r="14" ht="15.75" spans="1:6">
      <c r="A14" s="27" t="s">
        <v>44</v>
      </c>
      <c r="B14" s="28"/>
      <c r="C14" s="28"/>
      <c r="D14" s="28"/>
      <c r="E14" s="28"/>
      <c r="F14" s="29">
        <f>TRUNC(SUM(F3:F13),2)</f>
        <v>0</v>
      </c>
    </row>
    <row r="15" spans="1:6">
      <c r="A15" s="30"/>
      <c r="B15" s="31" t="s">
        <v>287</v>
      </c>
      <c r="C15" s="32"/>
      <c r="D15" s="32"/>
      <c r="E15" s="32"/>
      <c r="F15" s="33">
        <f>TRUNC(F14/12,2)</f>
        <v>0</v>
      </c>
    </row>
    <row r="18" spans="1:6">
      <c r="A18" s="24" t="s">
        <v>288</v>
      </c>
      <c r="B18" s="24"/>
      <c r="C18" s="24"/>
      <c r="D18" s="24"/>
      <c r="E18" s="24"/>
      <c r="F18" s="24"/>
    </row>
    <row r="19" ht="60.75" spans="1:6">
      <c r="A19" s="2" t="s">
        <v>201</v>
      </c>
      <c r="B19" s="2" t="s">
        <v>202</v>
      </c>
      <c r="C19" s="2" t="s">
        <v>203</v>
      </c>
      <c r="D19" s="2" t="s">
        <v>275</v>
      </c>
      <c r="E19" s="2" t="s">
        <v>205</v>
      </c>
      <c r="F19" s="2" t="s">
        <v>206</v>
      </c>
    </row>
    <row r="20" ht="46.5" spans="1:6">
      <c r="A20" s="4">
        <v>1</v>
      </c>
      <c r="B20" s="5" t="s">
        <v>289</v>
      </c>
      <c r="C20" s="34" t="s">
        <v>208</v>
      </c>
      <c r="D20" s="7">
        <v>0</v>
      </c>
      <c r="E20" s="4">
        <v>1</v>
      </c>
      <c r="F20" s="35">
        <f t="shared" ref="F20:F29" si="1">TRUNC(E20*D20,2)</f>
        <v>0</v>
      </c>
    </row>
    <row r="21" customHeight="1" spans="1:6">
      <c r="A21" s="9">
        <v>2</v>
      </c>
      <c r="B21" s="10" t="s">
        <v>290</v>
      </c>
      <c r="C21" s="36" t="s">
        <v>208</v>
      </c>
      <c r="D21" s="7">
        <v>0</v>
      </c>
      <c r="E21" s="9">
        <v>1</v>
      </c>
      <c r="F21" s="37">
        <f t="shared" si="1"/>
        <v>0</v>
      </c>
    </row>
    <row r="22" ht="31.5" spans="1:6">
      <c r="A22" s="4">
        <v>3</v>
      </c>
      <c r="B22" s="5" t="s">
        <v>291</v>
      </c>
      <c r="C22" s="34" t="s">
        <v>292</v>
      </c>
      <c r="D22" s="7">
        <v>0</v>
      </c>
      <c r="E22" s="4">
        <v>1</v>
      </c>
      <c r="F22" s="35">
        <f t="shared" si="1"/>
        <v>0</v>
      </c>
    </row>
    <row r="23" ht="31.5" spans="1:6">
      <c r="A23" s="9">
        <v>4</v>
      </c>
      <c r="B23" s="10" t="s">
        <v>293</v>
      </c>
      <c r="C23" s="36" t="s">
        <v>294</v>
      </c>
      <c r="D23" s="7">
        <v>0</v>
      </c>
      <c r="E23" s="9">
        <v>1</v>
      </c>
      <c r="F23" s="37">
        <f t="shared" si="1"/>
        <v>0</v>
      </c>
    </row>
    <row r="24" ht="16.5" spans="1:6">
      <c r="A24" s="4">
        <v>5</v>
      </c>
      <c r="B24" s="5" t="s">
        <v>295</v>
      </c>
      <c r="C24" s="34" t="s">
        <v>296</v>
      </c>
      <c r="D24" s="7">
        <v>0</v>
      </c>
      <c r="E24" s="4">
        <v>10</v>
      </c>
      <c r="F24" s="35">
        <f t="shared" si="1"/>
        <v>0</v>
      </c>
    </row>
    <row r="25" ht="16.5" spans="1:6">
      <c r="A25" s="9">
        <v>6</v>
      </c>
      <c r="B25" s="10" t="s">
        <v>297</v>
      </c>
      <c r="C25" s="36" t="s">
        <v>298</v>
      </c>
      <c r="D25" s="7">
        <v>0</v>
      </c>
      <c r="E25" s="9">
        <v>2</v>
      </c>
      <c r="F25" s="37">
        <f t="shared" si="1"/>
        <v>0</v>
      </c>
    </row>
    <row r="26" ht="16.5" spans="1:6">
      <c r="A26" s="4">
        <v>7</v>
      </c>
      <c r="B26" s="5" t="s">
        <v>299</v>
      </c>
      <c r="C26" s="34" t="s">
        <v>298</v>
      </c>
      <c r="D26" s="7">
        <v>0</v>
      </c>
      <c r="E26" s="4">
        <v>5</v>
      </c>
      <c r="F26" s="35">
        <f t="shared" si="1"/>
        <v>0</v>
      </c>
    </row>
    <row r="27" ht="16.5" spans="1:6">
      <c r="A27" s="9">
        <v>8</v>
      </c>
      <c r="B27" s="10" t="s">
        <v>300</v>
      </c>
      <c r="C27" s="36" t="s">
        <v>301</v>
      </c>
      <c r="D27" s="7">
        <v>0</v>
      </c>
      <c r="E27" s="9">
        <v>2</v>
      </c>
      <c r="F27" s="37">
        <f t="shared" si="1"/>
        <v>0</v>
      </c>
    </row>
    <row r="28" ht="16.5" spans="1:6">
      <c r="A28" s="4">
        <v>9</v>
      </c>
      <c r="B28" s="5" t="s">
        <v>302</v>
      </c>
      <c r="C28" s="34" t="s">
        <v>301</v>
      </c>
      <c r="D28" s="7">
        <v>0</v>
      </c>
      <c r="E28" s="4">
        <v>2</v>
      </c>
      <c r="F28" s="35">
        <f t="shared" si="1"/>
        <v>0</v>
      </c>
    </row>
    <row r="29" ht="31.5" spans="1:6">
      <c r="A29" s="9">
        <v>10</v>
      </c>
      <c r="B29" s="10" t="s">
        <v>303</v>
      </c>
      <c r="C29" s="36" t="s">
        <v>208</v>
      </c>
      <c r="D29" s="7">
        <v>0</v>
      </c>
      <c r="E29" s="9">
        <v>6</v>
      </c>
      <c r="F29" s="37">
        <f t="shared" si="1"/>
        <v>0</v>
      </c>
    </row>
    <row r="30" ht="15.75" spans="1:6">
      <c r="A30" s="27" t="s">
        <v>44</v>
      </c>
      <c r="B30" s="28"/>
      <c r="C30" s="28"/>
      <c r="D30" s="28"/>
      <c r="E30" s="28"/>
      <c r="F30" s="29">
        <f>TRUNC(SUM(F20:F29),2)</f>
        <v>0</v>
      </c>
    </row>
    <row r="31" spans="1:6">
      <c r="A31" s="30"/>
      <c r="B31" s="31" t="s">
        <v>287</v>
      </c>
      <c r="C31" s="32"/>
      <c r="D31" s="32"/>
      <c r="E31" s="32"/>
      <c r="F31" s="33">
        <f>TRUNC((F30/12)/'ASG com Insalubridade (40%)'!G7,2)</f>
        <v>0</v>
      </c>
    </row>
  </sheetData>
  <mergeCells count="2">
    <mergeCell ref="A1:F1"/>
    <mergeCell ref="A18:F18"/>
  </mergeCells>
  <pageMargins left="0.75" right="0.75" top="1" bottom="1" header="0.5" footer="0.5"/>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10"/>
  <sheetViews>
    <sheetView tabSelected="1" workbookViewId="0">
      <selection activeCell="K3" sqref="K3"/>
    </sheetView>
  </sheetViews>
  <sheetFormatPr defaultColWidth="9.14285714285714" defaultRowHeight="15" outlineLevelCol="5"/>
  <cols>
    <col min="2" max="2" width="39.5714285714286" customWidth="1"/>
    <col min="3" max="3" width="10.2857142857143" customWidth="1"/>
    <col min="4" max="4" width="13.2857142857143" customWidth="1"/>
    <col min="5" max="5" width="13.4285714285714" customWidth="1"/>
    <col min="6" max="6" width="14" customWidth="1"/>
  </cols>
  <sheetData>
    <row r="1" ht="60.75" spans="1:6">
      <c r="A1" s="1" t="s">
        <v>201</v>
      </c>
      <c r="B1" s="2" t="s">
        <v>202</v>
      </c>
      <c r="C1" s="2" t="s">
        <v>203</v>
      </c>
      <c r="D1" s="2" t="s">
        <v>275</v>
      </c>
      <c r="E1" s="2" t="s">
        <v>205</v>
      </c>
      <c r="F1" s="3" t="s">
        <v>206</v>
      </c>
    </row>
    <row r="2" ht="128.25" spans="1:6">
      <c r="A2" s="4">
        <v>1</v>
      </c>
      <c r="B2" s="5" t="s">
        <v>304</v>
      </c>
      <c r="C2" s="6" t="s">
        <v>208</v>
      </c>
      <c r="D2" s="7">
        <v>0</v>
      </c>
      <c r="E2" s="6">
        <v>1</v>
      </c>
      <c r="F2" s="8">
        <f>TRUNC(E2*D2,2)</f>
        <v>0</v>
      </c>
    </row>
    <row r="3" ht="102.75" spans="1:6">
      <c r="A3" s="9">
        <v>2</v>
      </c>
      <c r="B3" s="10" t="s">
        <v>305</v>
      </c>
      <c r="C3" s="11" t="s">
        <v>208</v>
      </c>
      <c r="D3" s="12">
        <v>0</v>
      </c>
      <c r="E3" s="11">
        <v>1</v>
      </c>
      <c r="F3" s="13">
        <f>TRUNC(E3*D3,2)</f>
        <v>0</v>
      </c>
    </row>
    <row r="4" ht="153.75" spans="1:6">
      <c r="A4" s="14">
        <v>3</v>
      </c>
      <c r="B4" s="5" t="s">
        <v>306</v>
      </c>
      <c r="C4" s="15" t="s">
        <v>208</v>
      </c>
      <c r="D4" s="12">
        <v>0</v>
      </c>
      <c r="E4" s="15">
        <v>1</v>
      </c>
      <c r="F4" s="16">
        <f>TRUNC(E4*D4,2)</f>
        <v>0</v>
      </c>
    </row>
    <row r="5" ht="102" spans="1:6">
      <c r="A5" s="9">
        <v>4</v>
      </c>
      <c r="B5" s="10" t="s">
        <v>307</v>
      </c>
      <c r="C5" s="11" t="s">
        <v>208</v>
      </c>
      <c r="D5" s="12">
        <v>0</v>
      </c>
      <c r="E5" s="11">
        <v>1</v>
      </c>
      <c r="F5" s="13">
        <f>TRUNC(E5*D5,2)</f>
        <v>0</v>
      </c>
    </row>
    <row r="6" spans="1:6">
      <c r="A6" s="17" t="s">
        <v>44</v>
      </c>
      <c r="B6" s="18"/>
      <c r="C6" s="18"/>
      <c r="D6" s="18"/>
      <c r="E6" s="19"/>
      <c r="F6" s="20">
        <f>TRUNC(SUM(F2:F5),2)</f>
        <v>0</v>
      </c>
    </row>
    <row r="7" spans="1:6">
      <c r="A7" s="17" t="s">
        <v>308</v>
      </c>
      <c r="B7" s="18"/>
      <c r="C7" s="18"/>
      <c r="D7" s="18"/>
      <c r="E7" s="19"/>
      <c r="F7" s="21">
        <f>TRUNC(F6*0.5%,2)</f>
        <v>0</v>
      </c>
    </row>
    <row r="8" spans="1:6">
      <c r="A8" s="22" t="s">
        <v>309</v>
      </c>
      <c r="B8" s="22"/>
      <c r="C8" s="22"/>
      <c r="D8" s="22"/>
      <c r="E8" s="22"/>
      <c r="F8" s="23">
        <f>TRUNC(F6*(1-0.2)/(12*8))</f>
        <v>0</v>
      </c>
    </row>
    <row r="9" spans="1:6">
      <c r="A9" s="22" t="s">
        <v>310</v>
      </c>
      <c r="B9" s="22"/>
      <c r="C9" s="22"/>
      <c r="D9" s="22"/>
      <c r="E9" s="22"/>
      <c r="F9" s="23">
        <f>TRUNC(SUM(F7:F8))</f>
        <v>0</v>
      </c>
    </row>
    <row r="10" spans="1:6">
      <c r="A10" s="22" t="s">
        <v>311</v>
      </c>
      <c r="B10" s="22"/>
      <c r="C10" s="22"/>
      <c r="D10" s="22"/>
      <c r="E10" s="22"/>
      <c r="F10" s="23">
        <f>TRUNC(F9/'ASG com Insalubridade (40%)'!G7,2)</f>
        <v>0</v>
      </c>
    </row>
  </sheetData>
  <mergeCells count="5">
    <mergeCell ref="A6:E6"/>
    <mergeCell ref="A7:E7"/>
    <mergeCell ref="A8:E8"/>
    <mergeCell ref="A9:E9"/>
    <mergeCell ref="A10:E10"/>
  </mergeCells>
  <pageMargins left="0.75" right="0.75" top="1" bottom="1" header="0.5" footer="0.5"/>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10.xml.rels><?xml version="1.0" encoding="UTF-8" standalone="yes"?>
<Relationships xmlns="http://schemas.openxmlformats.org/package/2006/relationships"><Relationship Id="rId1" Type="http://schemas.openxmlformats.org/officeDocument/2006/relationships/customXmlProps" Target="itemProps10.xml"/></Relationships>
</file>

<file path=customXml/_rels/item11.xml.rels><?xml version="1.0" encoding="UTF-8" standalone="yes"?>
<Relationships xmlns="http://schemas.openxmlformats.org/package/2006/relationships"><Relationship Id="rId1" Type="http://schemas.openxmlformats.org/officeDocument/2006/relationships/customXmlProps" Target="itemProps11.xml"/></Relationships>
</file>

<file path=customXml/_rels/item12.xml.rels><?xml version="1.0" encoding="UTF-8" standalone="yes"?>
<Relationships xmlns="http://schemas.openxmlformats.org/package/2006/relationships"><Relationship Id="rId1" Type="http://schemas.openxmlformats.org/officeDocument/2006/relationships/customXmlProps" Target="itemProps12.xml"/></Relationships>
</file>

<file path=customXml/_rels/item13.xml.rels><?xml version="1.0" encoding="UTF-8" standalone="yes"?>
<Relationships xmlns="http://schemas.openxmlformats.org/package/2006/relationships"><Relationship Id="rId1" Type="http://schemas.openxmlformats.org/officeDocument/2006/relationships/customXmlProps" Target="itemProps13.xml"/></Relationships>
</file>

<file path=customXml/_rels/item14.xml.rels><?xml version="1.0" encoding="UTF-8" standalone="yes"?>
<Relationships xmlns="http://schemas.openxmlformats.org/package/2006/relationships"><Relationship Id="rId1" Type="http://schemas.openxmlformats.org/officeDocument/2006/relationships/customXmlProps" Target="itemProps14.xml"/></Relationships>
</file>

<file path=customXml/_rels/item15.xml.rels><?xml version="1.0" encoding="UTF-8" standalone="yes"?>
<Relationships xmlns="http://schemas.openxmlformats.org/package/2006/relationships"><Relationship Id="rId1" Type="http://schemas.openxmlformats.org/officeDocument/2006/relationships/customXmlProps" Target="itemProps15.xml"/></Relationships>
</file>

<file path=customXml/_rels/item16.xml.rels><?xml version="1.0" encoding="UTF-8" standalone="yes"?>
<Relationships xmlns="http://schemas.openxmlformats.org/package/2006/relationships"><Relationship Id="rId1" Type="http://schemas.openxmlformats.org/officeDocument/2006/relationships/customXmlProps" Target="itemProps16.xml"/></Relationships>
</file>

<file path=customXml/_rels/item17.xml.rels><?xml version="1.0" encoding="UTF-8" standalone="yes"?>
<Relationships xmlns="http://schemas.openxmlformats.org/package/2006/relationships"><Relationship Id="rId1" Type="http://schemas.openxmlformats.org/officeDocument/2006/relationships/customXmlProps" Target="itemProps17.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_rels/item7.xml.rels><?xml version="1.0" encoding="UTF-8" standalone="yes"?>
<Relationships xmlns="http://schemas.openxmlformats.org/package/2006/relationships"><Relationship Id="rId1" Type="http://schemas.openxmlformats.org/officeDocument/2006/relationships/customXmlProps" Target="itemProps7.xml"/></Relationships>
</file>

<file path=customXml/_rels/item8.xml.rels><?xml version="1.0" encoding="UTF-8" standalone="yes"?>
<Relationships xmlns="http://schemas.openxmlformats.org/package/2006/relationships"><Relationship Id="rId1" Type="http://schemas.openxmlformats.org/officeDocument/2006/relationships/customXmlProps" Target="itemProps8.xml"/></Relationships>
</file>

<file path=customXml/_rels/item9.xml.rels><?xml version="1.0" encoding="UTF-8" standalone="yes"?>
<Relationships xmlns="http://schemas.openxmlformats.org/package/2006/relationships"><Relationship Id="rId1" Type="http://schemas.openxmlformats.org/officeDocument/2006/relationships/customXmlProps" Target="itemProps9.xml"/></Relationships>
</file>

<file path=customXml/item1.xml>��< ? x m l   v e r s i o n = " 1 . 0 "   e n c o d i n g = " U T F - 1 6 " ? > < G e m i n i   x m l n s = " h t t p : / / g e m i n i / p i v o t c u s t o m i z a t i o n / I s S a n d b o x E m b e d d e d " > < C u s t o m C o n t e n t > < ! [ C D A T A [ y e s ] ] > < / C u s t o m C o n t e n t > < / G e m i n i > 
</file>

<file path=customXml/item10.xml>��< ? x m l   v e r s i o n = " 1 . 0 "   e n c o d i n g = " U T F - 1 6 " ? > < G e m i n i   x m l n s = " h t t p : / / g e m i n i / p i v o t c u s t o m i z a t i o n / S a n d b o x N o n E m p t y " > < C u s t o m C o n t e n t > < ! [ C D A T A [ 1 ] ] > < / C u s t o m C o n t e n t > < / G e m i n i > 
</file>

<file path=customXml/item11.xml>��< ? x m l   v e r s i o n = " 1 . 0 "   e n c o d i n g = " U T F - 1 6 " ? > < G e m i n i   x m l n s = " h t t p : / / g e m i n i / p i v o t c u s t o m i z a t i o n / D i a g r a m s " > < C u s t o m C o n t e n t > < ! [ C D A T A [ < A r r a y O f D i a g r a m M a n a g e r . S e r i a l i z a b l e D i a g r a m   x m l n s = " h t t p : / / s c h e m a s . d a t a c o n t r a c t . o r g / 2 0 0 4 / 0 7 / M i c r o s o f t . A n a l y s i s S e r v i c e s . C o m m o n "   x m l n s : i = " h t t p : / / w w w . w 3 . o r g / 2 0 0 1 / X M L S c h e m a - i n s t a n c e " > < D i a g r a m M a n a g e r . S e r i a l i z a b l e D i a g r a m > < A d a p t e r   i : t y p e = " M e a s u r e D i a g r a m S a n d b o x A d a p t e r " > < T a b l e N a m e > T a b l e 3 < / T a b l e N a m e > < / A d a p t e r > < D i a g r a m T y p e > M e a s u r e D i a g r a m < / D i a g r a m T y p e > < D i s p l a y C o n t e x t   i : t y p e = " M e a s u r e G r i d D i s p l a y C o n t e x t " > < C o l u m n T a g K e y > < K e y > S t a t i c   T a g s \ C o l u m n < / K e y > < / C o l u m n T a g K e y > < E r r o r s T a g G r o u p K e y > < K e y > T a g G r o u p s \ E r r o r s < / K e y > < / E r r o r s T a g G r o u p K e y > < F o r m u l a T a g K e y > < K e y > S t a t i c   T a g s \ F o r m u l a < / K e y > < / F o r m u l a T a g K e y > < H i d d e n T a g K e y > < K e y > S t a t i c   T a g s \ H i d d e n < / K e y > < / H i d d e n T a g K e y > < H o s t T y p e > M o d e l e r W i n d o w < / H o s t T y p e > < I m p l i c i t M e a s u r e S o u r c e C o l u m n L i n k T a g K e y > < K e y > S t a t i c   T a g s \ I m p l i c i t   M e a s u r e   a n d   S o u r c e   C o l u m n   L i n k < / K e y > < / I m p l i c i t M e a s u r e S o u r c e C o l u m n L i n k T a g K e y > < I m p l i c i t M e a s u r e T a g K e y > < K e y > S t a t i c   T a g s \ I s   i m p l i c i t   m e a s u r e < / K e y > < / I m p l i c i t M e a s u r e T a g K e y > < K p i T a g K e y > < K e y > S t a t i c   T a g s \ K P I < / K e y > < / K p i T a g K e y > < M e a s u r e T a g K e y > < K e y > S t a t i c   T a g s \ M e a s u r e < / K e y > < / M e a s u r e T a g K e y > < V a l u e T a g K e y > < K e y > S t a t i c   T a g s \ V a l u e < / K e y > < / V a l u e T a g K e y > < / D i s p l a y C o n t e x t > < D i s p l a y T y p e > M e a s u r e G r i d < / D i s p l a y T y p e > < K e y   i : t y p e = " S a n d b o x E d i t o r M e a s u r e G r i d K e y " > < T a b l e N a m e > T a b l e 3 < / T a b l e N a m e > < / K e y > < M a i n t a i n e r   i : t y p e = " M e a s u r e D i a g r a m . M e a s u r e D i a g r a m M a i n t a i n e r " > < A l l K e y s > < D i a g r a m O b j e c t K e y > < K e y > M e a s u r e   D i a g r a m < / K e y > < / D i a g r a m O b j e c t K e y > < D i a g r a m O b j e c t K e y > < K e y > A c t i o n s \ D e l e t e < / K e y > < / D i a g r a m O b j e c t K e y > < D i a g r a m O b j e c t K e y > < K e y > A c t i o n s \ C o n v e r t   t o   K P I < / K e y > < / D i a g r a m O b j e c t K e y > < D i a g r a m O b j e c t K e y > < K e y > A c t i o n s \ E d i t   K P I < / K e y > < / D i a g r a m O b j e c t K e y > < D i a g r a m O b j e c t K e y > < K e y > A c t i o n s \ R e m o v e   K P I < / K e y > < / D i a g r a m O b j e c t K e y > < D i a g r a m O b j e c t K e y > < K e y > A c t i o n s \ C o p y   M e a s u r e < / K e y > < / D i a g r a m O b j e c t K e y > < D i a g r a m O b j e c t K e y > < K e y > A c t i o n s \ A u t o M e a s u r e _ S u m < / K e y > < / D i a g r a m O b j e c t K e y > < D i a g r a m O b j e c t K e y > < K e y > A c t i o n s \ A u t o M e a s u r e _ C o u n t < / K e y > < / D i a g r a m O b j e c t K e y > < D i a g r a m O b j e c t K e y > < K e y > A c t i o n s \ A u t o M e a s u r e _ A v e r a g e < / K e y > < / D i a g r a m O b j e c t K e y > < D i a g r a m O b j e c t K e y > < K e y > A c t i o n s \ A u t o M e a s u r e _ M a x < / K e y > < / D i a g r a m O b j e c t K e y > < D i a g r a m O b j e c t K e y > < K e y > A c t i o n s \ A u t o M e a s u r e _ M i n < / K e y > < / D i a g r a m O b j e c t K e y > < D i a g r a m O b j e c t K e y > < K e y > A c t i o n s \ A u t o M e a s u r e _ S t d D e v < / K e y > < / D i a g r a m O b j e c t K e y > < D i a g r a m O b j e c t K e y > < K e y > A c t i o n s \ A u t o M e a s u r e _ S t d D e v p < / K e y > < / D i a g r a m O b j e c t K e y > < D i a g r a m O b j e c t K e y > < K e y > A c t i o n s \ A u t o M e a s u r e _ V a r < / K e y > < / D i a g r a m O b j e c t K e y > < D i a g r a m O b j e c t K e y > < K e y > A c t i o n s \ A u t o M e a s u r e _ V a r p < / K e y > < / D i a g r a m O b j e c t K e y > < D i a g r a m O b j e c t K e y > < K e y > A c t i o n s \ A u t o M e a s u r e _ D i s t i n c t C o u n t < / K e y > < / D i a g r a m O b j e c t K e y > < D i a g r a m O b j e c t K e y > < K e y > A c t i o n s \ E d i t < / K e y > < / D i a g r a m O b j e c t K e y > < D i a g r a m O b j e c t K e y > < K e y > A c t i o n s \ C r e a t e < / K e y > < / D i a g r a m O b j e c t K e y > < D i a g r a m O b j e c t K e y > < K e y > A c t i o n s \ F o r m a t < / K e y > < / D i a g r a m O b j e c t K e y > < D i a g r a m O b j e c t K e y > < K e y > A c t i o n s \ E d i t   D e s c r i p t i o n < / K e y > < / D i a g r a m O b j e c t K e y > < D i a g r a m O b j e c t K e y > < K e y > A c t i o n s \ H i d e   M e a s u r e s < / K e y > < / D i a g r a m O b j e c t K e y > < D i a g r a m O b j e c t K e y > < K e y > A c t i o n s \ U n h i d e   M e a s u r e s < / K e y > < / D i a g r a m O b j e c t K e y > < D i a g r a m O b j e c t K e y > < K e y > T a g G r o u p s \ T y p e s < / K e y > < / D i a g r a m O b j e c t K e y > < D i a g r a m O b j e c t K e y > < K e y > T a g G r o u p s \ L i n k   T y p e s < / K e y > < / D i a g r a m O b j e c t K e y > < D i a g r a m O b j e c t K e y > < K e y > T a g G r o u p s \ K P I < / K e y > < / D i a g r a m O b j e c t K e y > < D i a g r a m O b j e c t K e y > < K e y > T a g G r o u p s \ E r r o r s < / K e y > < / D i a g r a m O b j e c t K e y > < D i a g r a m O b j e c t K e y > < K e y > T a g G r o u p s \ V a l u e s   a n d   F o r m u l a s < / K e y > < / D i a g r a m O b j e c t K e y > < D i a g r a m O b j e c t K e y > < K e y > T a g G r o u p s \ S t a t e < / K e y > < / D i a g r a m O b j e c t K e y > < D i a g r a m O b j e c t K e y > < K e y > S t a t i c   T a g s \ C o l u m n < / K e y > < / D i a g r a m O b j e c t K e y > < D i a g r a m O b j e c t K e y > < K e y > S t a t i c   T a g s \ M e a s u r e < / K e y > < / D i a g r a m O b j e c t K e y > < D i a g r a m O b j e c t K e y > < K e y > S t a t i c   T a g s \ I m p l i c i t   M e a s u r e   a n d   S o u r c e   C o l u m n   L i n k < / K e y > < / D i a g r a m O b j e c t K e y > < D i a g r a m O b j e c t K e y > < K e y > S t a t i c   T a g s \ K P I < / K e y > < / D i a g r a m O b j e c t K e y > < D i a g r a m O b j e c t K e y > < K e y > S t a t i c   T a g s \ S e m a n t i c   E r r o r < / K e y > < / D i a g r a m O b j e c t K e y > < D i a g r a m O b j e c t K e y > < K e y > S t a t i c   T a g s \ C a l c u l a t i o n   E r r o r < / K e y > < / D i a g r a m O b j e c t K e y > < D i a g r a m O b j e c t K e y > < K e y > S t a t i c   T a g s \ V a l u e < / K e y > < / D i a g r a m O b j e c t K e y > < D i a g r a m O b j e c t K e y > < K e y > S t a t i c   T a g s \ F o r m u l a < / K e y > < / D i a g r a m O b j e c t K e y > < D i a g r a m O b j e c t K e y > < K e y > S t a t i c   T a g s \ E v a l u a t i o n   i n   p r o g r e s s < / K e y > < / D i a g r a m O b j e c t K e y > < D i a g r a m O b j e c t K e y > < K e y > S t a t i c   T a g s \ I s   i m p l i c i t   m e a s u r e < / K e y > < / D i a g r a m O b j e c t K e y > < D i a g r a m O b j e c t K e y > < K e y > S t a t i c   T a g s \ H i d d e n < / K e y > < / D i a g r a m O b j e c t K e y > < D i a g r a m O b j e c t K e y > < K e y > S t a t i c   T a g s \ N o t   i n   p e r s p e c t i v e < / K e y > < / D i a g r a m O b j e c t K e y > < D i a g r a m O b j e c t K e y > < K e y > S t a t i c   T a g s \ I s   r e a d o n l y < / K e y > < / D i a g r a m O b j e c t K e y > < D i a g r a m O b j e c t K e y > < K e y > C o l u m n s \ D e s c r i � � o < / K e y > < / D i a g r a m O b j e c t K e y > < D i a g r a m O b j e c t K e y > < K e y > C o l u m n s \ T i p o < / K e y > < / D i a g r a m O b j e c t K e y > < D i a g r a m O b j e c t K e y > < K e y > C o l u m n s \ Q u a n t i d a d e < / K e y > < / D i a g r a m O b j e c t K e y > < D i a g r a m O b j e c t K e y > < K e y > C o l u m n s \ F r e q u � n c i a   n o   m � s / s e m e s t r e < / K e y > < / D i a g r a m O b j e c t K e y > < D i a g r a m O b j e c t K e y > < K e y > C o l u m n s \ J o r n a d a   d e   T r a b a l h o   n o   m � s / S e m e s t r e < / K e y > < / D i a g r a m O b j e c t K e y > < D i a g r a m O b j e c t K e y > < K e y > C o l u m n s \ P r o d u t i v i d a d e   M � n i m a < / K e y > < / D i a g r a m O b j e c t K e y > < D i a g r a m O b j e c t K e y > < K e y > C o l u m n s \ P r o d u t i v i d a d e   M � x i m a < / K e y > < / D i a g r a m O b j e c t K e y > < D i a g r a m O b j e c t K e y > < K e y > C o l u m n s \ P r o d u t i v i d a d e   M � d i a < / K e y > < / D i a g r a m O b j e c t K e y > < D i a g r a m O b j e c t K e y > < K e y > C o l u m n s \ P r o d u t i v i d a d e   P e r s o n a l i z a d a < / K e y > < / D i a g r a m O b j e c t K e y > < D i a g r a m O b j e c t K e y > < K e y > C o l u m n s \ K i < / K e y > < / D i a g r a m O b j e c t K e y > < D i a g r a m O b j e c t K e y > < K e y > C o l u m n s \ Q t d e .   S e r v e n t e s < / K e y > < / D i a g r a m O b j e c t K e y > < D i a g r a m O b j e c t K e y > < K e y > C o l u m n s \ K i   a j u s t a d o < / K e y > < / D i a g r a m O b j e c t K e y > < D i a g r a m O b j e c t K e y > < K e y > C o l u m n s \ Q t e   a j u s t a d a < / K e y > < / D i a g r a m O b j e c t K e y > < D i a g r a m O b j e c t K e y > < K e y > C o l u m n s \ P r o d u t i v i d a d e < / K e y > < / D i a g r a m O b j e c t K e y > < / A l l K e y s > < S e l e c t e d K e y s / > < / M a i n t a i n e r > < V i e w S t a t e F a c t o r y T y p e > M i c r o s o f t . A n a l y s i s S e r v i c e s . C o m m o n . M e a s u r e G r i d V i e w S t a t e F a c t o r y < / V i e w S t a t e F a c t o r y T y p e > < V i e w S t a t e s   x m l n s : a = " h t t p : / / s c h e m a s . m i c r o s o f t . c o m / 2 0 0 3 / 1 0 / S e r i a l i z a t i o n / A r r a y s " > < a : K e y V a l u e O f D i a g r a m O b j e c t K e y a n y T y p e z b w N T n L X > < a : K e y > < K e y > M e a s u r e   D i a g r a m < / K e y > < / a : K e y > < a : V a l u e   i : t y p e = " M e a s u r e G r i d D i a g r a m V i e w S t a t e " > < T e x t s / > < / a : V a l u e > < / a : K e y V a l u e O f D i a g r a m O b j e c t K e y a n y T y p e z b w N T n L X > < a : K e y V a l u e O f D i a g r a m O b j e c t K e y a n y T y p e z b w N T n L X > < a : K e y > < K e y > A c t i o n s \ D e l e t e < / K e y > < / a : K e y > < a : V a l u e   i : t y p e = " M e a s u r e G r i d V i e w S t a t e I D i a g r a m A c t i o n " / > < / a : K e y V a l u e O f D i a g r a m O b j e c t K e y a n y T y p e z b w N T n L X > < a : K e y V a l u e O f D i a g r a m O b j e c t K e y a n y T y p e z b w N T n L X > < a : K e y > < K e y > A c t i o n s \ C o n v e r t   t o   K P I < / K e y > < / a : K e y > < a : V a l u e   i : t y p e = " M e a s u r e G r i d V i e w S t a t e I D i a g r a m A c t i o n " / > < / a : K e y V a l u e O f D i a g r a m O b j e c t K e y a n y T y p e z b w N T n L X > < a : K e y V a l u e O f D i a g r a m O b j e c t K e y a n y T y p e z b w N T n L X > < a : K e y > < K e y > A c t i o n s \ E d i t   K P I < / K e y > < / a : K e y > < a : V a l u e   i : t y p e = " M e a s u r e G r i d V i e w S t a t e I D i a g r a m A c t i o n " / > < / a : K e y V a l u e O f D i a g r a m O b j e c t K e y a n y T y p e z b w N T n L X > < a : K e y V a l u e O f D i a g r a m O b j e c t K e y a n y T y p e z b w N T n L X > < a : K e y > < K e y > A c t i o n s \ R e m o v e   K P I < / K e y > < / a : K e y > < a : V a l u e   i : t y p e = " M e a s u r e G r i d V i e w S t a t e I D i a g r a m A c t i o n " / > < / a : K e y V a l u e O f D i a g r a m O b j e c t K e y a n y T y p e z b w N T n L X > < a : K e y V a l u e O f D i a g r a m O b j e c t K e y a n y T y p e z b w N T n L X > < a : K e y > < K e y > A c t i o n s \ C o p y   M e a s u r e < / K e y > < / a : K e y > < a : V a l u e   i : t y p e = " M e a s u r e G r i d V i e w S t a t e I D i a g r a m A c t i o n " / > < / a : K e y V a l u e O f D i a g r a m O b j e c t K e y a n y T y p e z b w N T n L X > < a : K e y V a l u e O f D i a g r a m O b j e c t K e y a n y T y p e z b w N T n L X > < a : K e y > < K e y > A c t i o n s \ A u t o M e a s u r e _ S u m < / K e y > < / a : K e y > < a : V a l u e   i : t y p e = " M e a s u r e G r i d V i e w S t a t e I D i a g r a m A c t i o n " / > < / a : K e y V a l u e O f D i a g r a m O b j e c t K e y a n y T y p e z b w N T n L X > < a : K e y V a l u e O f D i a g r a m O b j e c t K e y a n y T y p e z b w N T n L X > < a : K e y > < K e y > A c t i o n s \ A u t o M e a s u r e _ C o u n t < / K e y > < / a : K e y > < a : V a l u e   i : t y p e = " M e a s u r e G r i d V i e w S t a t e I D i a g r a m A c t i o n " / > < / a : K e y V a l u e O f D i a g r a m O b j e c t K e y a n y T y p e z b w N T n L X > < a : K e y V a l u e O f D i a g r a m O b j e c t K e y a n y T y p e z b w N T n L X > < a : K e y > < K e y > A c t i o n s \ A u t o M e a s u r e _ A v e r a g e < / K e y > < / a : K e y > < a : V a l u e   i : t y p e = " M e a s u r e G r i d V i e w S t a t e I D i a g r a m A c t i o n " / > < / a : K e y V a l u e O f D i a g r a m O b j e c t K e y a n y T y p e z b w N T n L X > < a : K e y V a l u e O f D i a g r a m O b j e c t K e y a n y T y p e z b w N T n L X > < a : K e y > < K e y > A c t i o n s \ A u t o M e a s u r e _ M a x < / K e y > < / a : K e y > < a : V a l u e   i : t y p e = " M e a s u r e G r i d V i e w S t a t e I D i a g r a m A c t i o n " / > < / a : K e y V a l u e O f D i a g r a m O b j e c t K e y a n y T y p e z b w N T n L X > < a : K e y V a l u e O f D i a g r a m O b j e c t K e y a n y T y p e z b w N T n L X > < a : K e y > < K e y > A c t i o n s \ A u t o M e a s u r e _ M i n < / K e y > < / a : K e y > < a : V a l u e   i : t y p e = " M e a s u r e G r i d V i e w S t a t e I D i a g r a m A c t i o n " / > < / a : K e y V a l u e O f D i a g r a m O b j e c t K e y a n y T y p e z b w N T n L X > < a : K e y V a l u e O f D i a g r a m O b j e c t K e y a n y T y p e z b w N T n L X > < a : K e y > < K e y > A c t i o n s \ A u t o M e a s u r e _ S t d D e v < / K e y > < / a : K e y > < a : V a l u e   i : t y p e = " M e a s u r e G r i d V i e w S t a t e I D i a g r a m A c t i o n " / > < / a : K e y V a l u e O f D i a g r a m O b j e c t K e y a n y T y p e z b w N T n L X > < a : K e y V a l u e O f D i a g r a m O b j e c t K e y a n y T y p e z b w N T n L X > < a : K e y > < K e y > A c t i o n s \ A u t o M e a s u r e _ S t d D e v p < / K e y > < / a : K e y > < a : V a l u e   i : t y p e = " M e a s u r e G r i d V i e w S t a t e I D i a g r a m A c t i o n " / > < / a : K e y V a l u e O f D i a g r a m O b j e c t K e y a n y T y p e z b w N T n L X > < a : K e y V a l u e O f D i a g r a m O b j e c t K e y a n y T y p e z b w N T n L X > < a : K e y > < K e y > A c t i o n s \ A u t o M e a s u r e _ V a r < / K e y > < / a : K e y > < a : V a l u e   i : t y p e = " M e a s u r e G r i d V i e w S t a t e I D i a g r a m A c t i o n " / > < / a : K e y V a l u e O f D i a g r a m O b j e c t K e y a n y T y p e z b w N T n L X > < a : K e y V a l u e O f D i a g r a m O b j e c t K e y a n y T y p e z b w N T n L X > < a : K e y > < K e y > A c t i o n s \ A u t o M e a s u r e _ V a r p < / K e y > < / a : K e y > < a : V a l u e   i : t y p e = " M e a s u r e G r i d V i e w S t a t e I D i a g r a m A c t i o n " / > < / a : K e y V a l u e O f D i a g r a m O b j e c t K e y a n y T y p e z b w N T n L X > < a : K e y V a l u e O f D i a g r a m O b j e c t K e y a n y T y p e z b w N T n L X > < a : K e y > < K e y > A c t i o n s \ A u t o M e a s u r e _ D i s t i n c t C o u n t < / K e y > < / a : K e y > < a : V a l u e   i : t y p e = " M e a s u r e G r i d V i e w S t a t e I D i a g r a m A c t i o n " / > < / a : K e y V a l u e O f D i a g r a m O b j e c t K e y a n y T y p e z b w N T n L X > < a : K e y V a l u e O f D i a g r a m O b j e c t K e y a n y T y p e z b w N T n L X > < a : K e y > < K e y > A c t i o n s \ E d i t < / K e y > < / a : K e y > < a : V a l u e   i : t y p e = " M e a s u r e G r i d V i e w S t a t e I D i a g r a m A c t i o n " / > < / a : K e y V a l u e O f D i a g r a m O b j e c t K e y a n y T y p e z b w N T n L X > < a : K e y V a l u e O f D i a g r a m O b j e c t K e y a n y T y p e z b w N T n L X > < a : K e y > < K e y > A c t i o n s \ C r e a t e < / K e y > < / a : K e y > < a : V a l u e   i : t y p e = " M e a s u r e G r i d V i e w S t a t e I D i a g r a m A c t i o n " / > < / a : K e y V a l u e O f D i a g r a m O b j e c t K e y a n y T y p e z b w N T n L X > < a : K e y V a l u e O f D i a g r a m O b j e c t K e y a n y T y p e z b w N T n L X > < a : K e y > < K e y > A c t i o n s \ F o r m a t < / K e y > < / a : K e y > < a : V a l u e   i : t y p e = " M e a s u r e G r i d V i e w S t a t e I D i a g r a m A c t i o n " / > < / a : K e y V a l u e O f D i a g r a m O b j e c t K e y a n y T y p e z b w N T n L X > < a : K e y V a l u e O f D i a g r a m O b j e c t K e y a n y T y p e z b w N T n L X > < a : K e y > < K e y > A c t i o n s \ E d i t   D e s c r i p t i o n < / K e y > < / a : K e y > < a : V a l u e   i : t y p e = " M e a s u r e G r i d V i e w S t a t e I D i a g r a m A c t i o n " / > < / a : K e y V a l u e O f D i a g r a m O b j e c t K e y a n y T y p e z b w N T n L X > < a : K e y V a l u e O f D i a g r a m O b j e c t K e y a n y T y p e z b w N T n L X > < a : K e y > < K e y > A c t i o n s \ H i d e   M e a s u r e s < / K e y > < / a : K e y > < a : V a l u e   i : t y p e = " M e a s u r e G r i d V i e w S t a t e I D i a g r a m A c t i o n " / > < / a : K e y V a l u e O f D i a g r a m O b j e c t K e y a n y T y p e z b w N T n L X > < a : K e y V a l u e O f D i a g r a m O b j e c t K e y a n y T y p e z b w N T n L X > < a : K e y > < K e y > A c t i o n s \ U n h i d e   M e a s u r e s < / K e y > < / a : K e y > < a : V a l u e   i : t y p e = " M e a s u r e G r i d V i e w S t a t e I D i a g r a m A c t i o n " / > < / a : K e y V a l u e O f D i a g r a m O b j e c t K e y a n y T y p e z b w N T n L X > < a : K e y V a l u e O f D i a g r a m O b j e c t K e y a n y T y p e z b w N T n L X > < a : K e y > < K e y > T a g G r o u p s \ T y p e s < / K e y > < / a : K e y > < a : V a l u e   i : t y p e = " M e a s u r e G r i d V i e w S t a t e I D i a g r a m T a g G r o u p " / > < / a : K e y V a l u e O f D i a g r a m O b j e c t K e y a n y T y p e z b w N T n L X > < a : K e y V a l u e O f D i a g r a m O b j e c t K e y a n y T y p e z b w N T n L X > < a : K e y > < K e y > T a g G r o u p s \ L i n k   T y p e s < / K e y > < / a : K e y > < a : V a l u e   i : t y p e = " M e a s u r e G r i d V i e w S t a t e I D i a g r a m T a g G r o u p " / > < / a : K e y V a l u e O f D i a g r a m O b j e c t K e y a n y T y p e z b w N T n L X > < a : K e y V a l u e O f D i a g r a m O b j e c t K e y a n y T y p e z b w N T n L X > < a : K e y > < K e y > T a g G r o u p s \ K P I < / K e y > < / a : K e y > < a : V a l u e   i : t y p e = " M e a s u r e G r i d V i e w S t a t e I D i a g r a m T a g G r o u p " / > < / a : K e y V a l u e O f D i a g r a m O b j e c t K e y a n y T y p e z b w N T n L X > < a : K e y V a l u e O f D i a g r a m O b j e c t K e y a n y T y p e z b w N T n L X > < a : K e y > < K e y > T a g G r o u p s \ E r r o r s < / K e y > < / a : K e y > < a : V a l u e   i : t y p e = " M e a s u r e G r i d V i e w S t a t e I D i a g r a m T a g G r o u p " / > < / a : K e y V a l u e O f D i a g r a m O b j e c t K e y a n y T y p e z b w N T n L X > < a : K e y V a l u e O f D i a g r a m O b j e c t K e y a n y T y p e z b w N T n L X > < a : K e y > < K e y > T a g G r o u p s \ V a l u e s   a n d   F o r m u l a s < / K e y > < / a : K e y > < a : V a l u e   i : t y p e = " M e a s u r e G r i d V i e w S t a t e I D i a g r a m T a g G r o u p " / > < / a : K e y V a l u e O f D i a g r a m O b j e c t K e y a n y T y p e z b w N T n L X > < a : K e y V a l u e O f D i a g r a m O b j e c t K e y a n y T y p e z b w N T n L X > < a : K e y > < K e y > T a g G r o u p s \ S t a t e < / K e y > < / a : K e y > < a : V a l u e   i : t y p e = " M e a s u r e G r i d V i e w S t a t e I D i a g r a m T a g G r o u p " / > < / a : K e y V a l u e O f D i a g r a m O b j e c t K e y a n y T y p e z b w N T n L X > < a : K e y V a l u e O f D i a g r a m O b j e c t K e y a n y T y p e z b w N T n L X > < a : K e y > < K e y > S t a t i c   T a g s \ C o l u m n < / K e y > < / a : K e y > < a : V a l u e   i : t y p e = " M e a s u r e G r i d V i e w S t a t e I D i a g r a m T a g " / > < / a : K e y V a l u e O f D i a g r a m O b j e c t K e y a n y T y p e z b w N T n L X > < a : K e y V a l u e O f D i a g r a m O b j e c t K e y a n y T y p e z b w N T n L X > < a : K e y > < K e y > S t a t i c   T a g s \ M e a s u r e < / K e y > < / a : K e y > < a : V a l u e   i : t y p e = " M e a s u r e G r i d V i e w S t a t e I D i a g r a m T a g " / > < / a : K e y V a l u e O f D i a g r a m O b j e c t K e y a n y T y p e z b w N T n L X > < a : K e y V a l u e O f D i a g r a m O b j e c t K e y a n y T y p e z b w N T n L X > < a : K e y > < K e y > S t a t i c   T a g s \ I m p l i c i t   M e a s u r e   a n d   S o u r c e   C o l u m n   L i n k < / K e y > < / a : K e y > < a : V a l u e   i : t y p e = " M e a s u r e G r i d V i e w S t a t e I D i a g r a m T a g " / > < / a : K e y V a l u e O f D i a g r a m O b j e c t K e y a n y T y p e z b w N T n L X > < a : K e y V a l u e O f D i a g r a m O b j e c t K e y a n y T y p e z b w N T n L X > < a : K e y > < K e y > S t a t i c   T a g s \ K P I < / K e y > < / a : K e y > < a : V a l u e   i : t y p e = " M e a s u r e G r i d V i e w S t a t e I D i a g r a m T a g " / > < / a : K e y V a l u e O f D i a g r a m O b j e c t K e y a n y T y p e z b w N T n L X > < a : K e y V a l u e O f D i a g r a m O b j e c t K e y a n y T y p e z b w N T n L X > < a : K e y > < K e y > S t a t i c   T a g s \ S e m a n t i c   E r r o r < / K e y > < / a : K e y > < a : V a l u e   i : t y p e = " M e a s u r e G r i d V i e w S t a t e I D i a g r a m T a g " / > < / a : K e y V a l u e O f D i a g r a m O b j e c t K e y a n y T y p e z b w N T n L X > < a : K e y V a l u e O f D i a g r a m O b j e c t K e y a n y T y p e z b w N T n L X > < a : K e y > < K e y > S t a t i c   T a g s \ C a l c u l a t i o n   E r r o r < / K e y > < / a : K e y > < a : V a l u e   i : t y p e = " M e a s u r e G r i d V i e w S t a t e I D i a g r a m T a g " / > < / a : K e y V a l u e O f D i a g r a m O b j e c t K e y a n y T y p e z b w N T n L X > < a : K e y V a l u e O f D i a g r a m O b j e c t K e y a n y T y p e z b w N T n L X > < a : K e y > < K e y > S t a t i c   T a g s \ V a l u e < / K e y > < / a : K e y > < a : V a l u e   i : t y p e = " M e a s u r e G r i d V i e w S t a t e I D i a g r a m T a g " / > < / a : K e y V a l u e O f D i a g r a m O b j e c t K e y a n y T y p e z b w N T n L X > < a : K e y V a l u e O f D i a g r a m O b j e c t K e y a n y T y p e z b w N T n L X > < a : K e y > < K e y > S t a t i c   T a g s \ F o r m u l a < / K e y > < / a : K e y > < a : V a l u e   i : t y p e = " M e a s u r e G r i d V i e w S t a t e I D i a g r a m T a g " / > < / a : K e y V a l u e O f D i a g r a m O b j e c t K e y a n y T y p e z b w N T n L X > < a : K e y V a l u e O f D i a g r a m O b j e c t K e y a n y T y p e z b w N T n L X > < a : K e y > < K e y > S t a t i c   T a g s \ E v a l u a t i o n   i n   p r o g r e s s < / K e y > < / a : K e y > < a : V a l u e   i : t y p e = " M e a s u r e G r i d V i e w S t a t e I D i a g r a m T a g " / > < / a : K e y V a l u e O f D i a g r a m O b j e c t K e y a n y T y p e z b w N T n L X > < a : K e y V a l u e O f D i a g r a m O b j e c t K e y a n y T y p e z b w N T n L X > < a : K e y > < K e y > S t a t i c   T a g s \ I s   i m p l i c i t   m e a s u r e < / K e y > < / a : K e y > < a : V a l u e   i : t y p e = " M e a s u r e G r i d V i e w S t a t e I D i a g r a m T a g " / > < / a : K e y V a l u e O f D i a g r a m O b j e c t K e y a n y T y p e z b w N T n L X > < a : K e y V a l u e O f D i a g r a m O b j e c t K e y a n y T y p e z b w N T n L X > < a : K e y > < K e y > S t a t i c   T a g s \ H i d d e n < / K e y > < / a : K e y > < a : V a l u e   i : t y p e = " M e a s u r e G r i d V i e w S t a t e I D i a g r a m T a g " / > < / a : K e y V a l u e O f D i a g r a m O b j e c t K e y a n y T y p e z b w N T n L X > < a : K e y V a l u e O f D i a g r a m O b j e c t K e y a n y T y p e z b w N T n L X > < a : K e y > < K e y > S t a t i c   T a g s \ N o t   i n   p e r s p e c t i v e < / K e y > < / a : K e y > < a : V a l u e   i : t y p e = " M e a s u r e G r i d V i e w S t a t e I D i a g r a m T a g " / > < / a : K e y V a l u e O f D i a g r a m O b j e c t K e y a n y T y p e z b w N T n L X > < a : K e y V a l u e O f D i a g r a m O b j e c t K e y a n y T y p e z b w N T n L X > < a : K e y > < K e y > S t a t i c   T a g s \ I s   r e a d o n l y < / K e y > < / a : K e y > < a : V a l u e   i : t y p e = " M e a s u r e G r i d V i e w S t a t e I D i a g r a m T a g " / > < / a : K e y V a l u e O f D i a g r a m O b j e c t K e y a n y T y p e z b w N T n L X > < a : K e y V a l u e O f D i a g r a m O b j e c t K e y a n y T y p e z b w N T n L X > < a : K e y > < K e y > C o l u m n s \ D e s c r i � � o < / K e y > < / a : K e y > < a : V a l u e   i : t y p e = " M e a s u r e G r i d N o d e V i e w S t a t e " > < L a y e d O u t > t r u e < / L a y e d O u t > < / a : V a l u e > < / a : K e y V a l u e O f D i a g r a m O b j e c t K e y a n y T y p e z b w N T n L X > < a : K e y V a l u e O f D i a g r a m O b j e c t K e y a n y T y p e z b w N T n L X > < a : K e y > < K e y > C o l u m n s \ T i p o < / K e y > < / a : K e y > < a : V a l u e   i : t y p e = " M e a s u r e G r i d N o d e V i e w S t a t e " > < C o l u m n > 1 < / C o l u m n > < L a y e d O u t > t r u e < / L a y e d O u t > < / a : V a l u e > < / a : K e y V a l u e O f D i a g r a m O b j e c t K e y a n y T y p e z b w N T n L X > < a : K e y V a l u e O f D i a g r a m O b j e c t K e y a n y T y p e z b w N T n L X > < a : K e y > < K e y > C o l u m n s \ Q u a n t i d a d e < / K e y > < / a : K e y > < a : V a l u e   i : t y p e = " M e a s u r e G r i d N o d e V i e w S t a t e " > < C o l u m n > 2 < / C o l u m n > < L a y e d O u t > t r u e < / L a y e d O u t > < / a : V a l u e > < / a : K e y V a l u e O f D i a g r a m O b j e c t K e y a n y T y p e z b w N T n L X > < a : K e y V a l u e O f D i a g r a m O b j e c t K e y a n y T y p e z b w N T n L X > < a : K e y > < K e y > C o l u m n s \ F r e q u � n c i a   n o   m � s / s e m e s t r e < / K e y > < / a : K e y > < a : V a l u e   i : t y p e = " M e a s u r e G r i d N o d e V i e w S t a t e " > < C o l u m n > 3 < / C o l u m n > < L a y e d O u t > t r u e < / L a y e d O u t > < / a : V a l u e > < / a : K e y V a l u e O f D i a g r a m O b j e c t K e y a n y T y p e z b w N T n L X > < a : K e y V a l u e O f D i a g r a m O b j e c t K e y a n y T y p e z b w N T n L X > < a : K e y > < K e y > C o l u m n s \ J o r n a d a   d e   T r a b a l h o   n o   m � s / S e m e s t r e < / K e y > < / a : K e y > < a : V a l u e   i : t y p e = " M e a s u r e G r i d N o d e V i e w S t a t e " > < C o l u m n > 4 < / C o l u m n > < L a y e d O u t > t r u e < / L a y e d O u t > < / a : V a l u e > < / a : K e y V a l u e O f D i a g r a m O b j e c t K e y a n y T y p e z b w N T n L X > < a : K e y V a l u e O f D i a g r a m O b j e c t K e y a n y T y p e z b w N T n L X > < a : K e y > < K e y > C o l u m n s \ P r o d u t i v i d a d e   M � n i m a < / K e y > < / a : K e y > < a : V a l u e   i : t y p e = " M e a s u r e G r i d N o d e V i e w S t a t e " > < C o l u m n > 5 < / C o l u m n > < L a y e d O u t > t r u e < / L a y e d O u t > < / a : V a l u e > < / a : K e y V a l u e O f D i a g r a m O b j e c t K e y a n y T y p e z b w N T n L X > < a : K e y V a l u e O f D i a g r a m O b j e c t K e y a n y T y p e z b w N T n L X > < a : K e y > < K e y > C o l u m n s \ P r o d u t i v i d a d e   M � x i m a < / K e y > < / a : K e y > < a : V a l u e   i : t y p e = " M e a s u r e G r i d N o d e V i e w S t a t e " > < C o l u m n > 6 < / C o l u m n > < L a y e d O u t > t r u e < / L a y e d O u t > < / a : V a l u e > < / a : K e y V a l u e O f D i a g r a m O b j e c t K e y a n y T y p e z b w N T n L X > < a : K e y V a l u e O f D i a g r a m O b j e c t K e y a n y T y p e z b w N T n L X > < a : K e y > < K e y > C o l u m n s \ P r o d u t i v i d a d e   M � d i a < / K e y > < / a : K e y > < a : V a l u e   i : t y p e = " M e a s u r e G r i d N o d e V i e w S t a t e " > < C o l u m n > 7 < / C o l u m n > < L a y e d O u t > t r u e < / L a y e d O u t > < / a : V a l u e > < / a : K e y V a l u e O f D i a g r a m O b j e c t K e y a n y T y p e z b w N T n L X > < a : K e y V a l u e O f D i a g r a m O b j e c t K e y a n y T y p e z b w N T n L X > < a : K e y > < K e y > C o l u m n s \ P r o d u t i v i d a d e   P e r s o n a l i z a d a < / K e y > < / a : K e y > < a : V a l u e   i : t y p e = " M e a s u r e G r i d N o d e V i e w S t a t e " > < C o l u m n > 8 < / C o l u m n > < L a y e d O u t > t r u e < / L a y e d O u t > < / a : V a l u e > < / a : K e y V a l u e O f D i a g r a m O b j e c t K e y a n y T y p e z b w N T n L X > < a : K e y V a l u e O f D i a g r a m O b j e c t K e y a n y T y p e z b w N T n L X > < a : K e y > < K e y > C o l u m n s \ K i < / K e y > < / a : K e y > < a : V a l u e   i : t y p e = " M e a s u r e G r i d N o d e V i e w S t a t e " > < C o l u m n > 9 < / C o l u m n > < L a y e d O u t > t r u e < / L a y e d O u t > < / a : V a l u e > < / a : K e y V a l u e O f D i a g r a m O b j e c t K e y a n y T y p e z b w N T n L X > < a : K e y V a l u e O f D i a g r a m O b j e c t K e y a n y T y p e z b w N T n L X > < a : K e y > < K e y > C o l u m n s \ Q t d e .   S e r v e n t e s < / K e y > < / a : K e y > < a : V a l u e   i : t y p e = " M e a s u r e G r i d N o d e V i e w S t a t e " > < C o l u m n > 1 0 < / C o l u m n > < L a y e d O u t > t r u e < / L a y e d O u t > < / a : V a l u e > < / a : K e y V a l u e O f D i a g r a m O b j e c t K e y a n y T y p e z b w N T n L X > < a : K e y V a l u e O f D i a g r a m O b j e c t K e y a n y T y p e z b w N T n L X > < a : K e y > < K e y > C o l u m n s \ K i   a j u s t a d o < / K e y > < / a : K e y > < a : V a l u e   i : t y p e = " M e a s u r e G r i d N o d e V i e w S t a t e " > < C o l u m n > 1 1 < / C o l u m n > < L a y e d O u t > t r u e < / L a y e d O u t > < / a : V a l u e > < / a : K e y V a l u e O f D i a g r a m O b j e c t K e y a n y T y p e z b w N T n L X > < a : K e y V a l u e O f D i a g r a m O b j e c t K e y a n y T y p e z b w N T n L X > < a : K e y > < K e y > C o l u m n s \ Q t e   a j u s t a d a < / K e y > < / a : K e y > < a : V a l u e   i : t y p e = " M e a s u r e G r i d N o d e V i e w S t a t e " > < C o l u m n > 1 2 < / C o l u m n > < L a y e d O u t > t r u e < / L a y e d O u t > < / a : V a l u e > < / a : K e y V a l u e O f D i a g r a m O b j e c t K e y a n y T y p e z b w N T n L X > < a : K e y V a l u e O f D i a g r a m O b j e c t K e y a n y T y p e z b w N T n L X > < a : K e y > < K e y > C o l u m n s \ P r o d u t i v i d a d e < / K e y > < / a : K e y > < a : V a l u e   i : t y p e = " M e a s u r e G r i d N o d e V i e w S t a t e " > < C o l u m n > 1 3 < / C o l u m n > < L a y e d O u t > t r u e < / L a y e d O u t > < / a : V a l u e > < / a : K e y V a l u e O f D i a g r a m O b j e c t K e y a n y T y p e z b w N T n L X > < / V i e w S t a t e s > < / D i a g r a m M a n a g e r . S e r i a l i z a b l e D i a g r a m > < D i a g r a m M a n a g e r . S e r i a l i z a b l e D i a g r a m > < A d a p t e r   i : t y p e = " E R D i a g r a m S a n d b o x A d a p t e r " > < P e r s p e c t i v e N a m e / > < / A d a p t e r > < D i a g r a m T y p e > E R D i a g r a m < / D i a g r a m T y p e > < D i s p l a y C o n t e x t   i : t y p e = " D i a g r a m D i s p l a y C o n t e x t " > < P r i m a r y T a g G r o u p K e y > < K e y > T a g G r o u p s \ N o d e   T y p e s < / K e y > < / P r i m a r y T a g G r o u p K e y > < S h o w H i d d e n > t r u e < / S h o w H i d d e n > < S h o w n T a g G r o u p K e y s > < D i a g r a m O b j e c t K e y > < K e y > T a g G r o u p s \ W a r n i n g s < / K e y > < / D i a g r a m O b j e c t K e y > < / S h o w n T a g G r o u p K e y s > < T a g G r o u p H i g h l i g h t s K e y > < K e y > T a g G r o u p s \ H i g h l i g h t   R e a s o n s < / K e y > < / T a g G r o u p H i g h l i g h t s K e y > < T a g H i d d e n K e y > < K e y > S t a t i c   T a g s \ H i d d e n < / K e y > < / T a g H i d d e n K e y > < T a g H i g h l i g h t D i s a p p e a r i n g K e y > < K e y > S t a t i c   T a g s \ D e l e t i n g < / K e y > < / T a g H i g h l i g h t D i s a p p e a r i n g K e y > < T a g H i g h l i g h t P r e v i e w L i n k C r e a t i o n K e y > < K e y > S t a t i c   T a g s \ C r e a t i n g   V a l i d   R e l a t i o n s h i p < / K e y > < / T a g H i g h l i g h t P r e v i e w L i n k C r e a t i o n K e y > < T a g H i g h l i g h t R e l a t e d K e y > < K e y > S t a t i c   T a g s \ R e l a t e d < / K e y > < / T a g H i g h l i g h t R e l a t e d K e y > < T a g H i n t T e x t K e y > < K e y > S t a t i c   T a g s \ H i n t   T e x t < / K e y > < / T a g H i n t T e x t K e y > < T a g I m p l i c i t M e a s u r e K e y > < K e y > S t a t i c   T a g s \ I s   I m p l i c i t   M e a s u r e < / K e y > < / T a g I m p l i c i t M e a s u r e K e y > < T a g I n a c t i v e K e y > < K e y > S t a t i c   T a g s \ I n a c t i v e < / K e y > < / T a g I n a c t i v e K e y > < T a g P r e v i e w A c t i v e K e y > < K e y > S t a t i c   T a g s \ P r e v i e w   A c t i v e < / K e y > < / T a g P r e v i e w A c t i v e K e y > < T a g P r e v i e w I n a c t i v e K e y > < K e y > S t a t i c   T a g s \ P r e v i e w   I n a c t i v e < / K e y > < / T a g P r e v i e w I n a c t i v e K e y > < / D i s p l a y C o n t e x t > < D i s p l a y T y p e > D i a g r a m D i s p l a y < / D i s p l a y T y p e > < K e y   i : t y p e = " S a n d b o x E d i t o r D i a g r a m K e y " > < P e r s p e c t i v e / > < / K e y > < M a i n t a i n e r   i : t y p e = " E R D i a g r a m . E R D i a g r a m M a i n t a i n e r " > < A l l K e y s > < D i a g r a m O b j e c t K e y > < K e y > E R   D i a g r a m < / K e y > < / D i a g r a m O b j e c t K e y > < D i a g r a m O b j e c t K e y > < K e y > A c t i o n s \ D e l e t e < / K e y > < / D i a g r a m O b j e c t K e y > < D i a g r a m O b j e c t K e y > < K e y > A c t i o n s \ D e l e t e   f r o m   m o d e l < / K e y > < / D i a g r a m O b j e c t K e y > < D i a g r a m O b j e c t K e y > < K e y > A c t i o n s \ S e l e c t < / K e y > < / D i a g r a m O b j e c t K e y > < D i a g r a m O b j e c t K e y > < K e y > A c t i o n s \ C r e a t e   R e l a t i o n s h i p < / K e y > < / D i a g r a m O b j e c t K e y > < D i a g r a m O b j e c t K e y > < K e y > A c t i o n s \ L a u n c h   C r e a t e   R e l a t i o n s h i p   D i a l o g < / K e y > < / D i a g r a m O b j e c t K e y > < D i a g r a m O b j e c t K e y > < K e y > A c t i o n s \ L a u n c h   E d i t   R e l a t i o n s h i p   D i a l o g < / K e y > < / D i a g r a m O b j e c t K e y > < D i a g r a m O b j e c t K e y > < K e y > A c t i o n s \ C r e a t e   H i e r a r c h y   w i t h   L e v e l s < / K e y > < / D i a g r a m O b j e c t K e y > < D i a g r a m O b j e c t K e y > < K e y > A c t i o n s \ C r e a t e   E m p t y   H i e r a r c h y < / K e y > < / D i a g r a m O b j e c t K e y > < D i a g r a m O b j e c t K e y > < K e y > A c t i o n s \ R e m o v e   f r o m   H i e r a r c h y < / K e y > < / D i a g r a m O b j e c t K e y > < D i a g r a m O b j e c t K e y > < K e y > A c t i o n s \ R e n a m e   N o d e < / K e y > < / D i a g r a m O b j e c t K e y > < D i a g r a m O b j e c t K e y > < K e y > A c t i o n s \ M o v e   N o d e < / K e y > < / D i a g r a m O b j e c t K e y > < D i a g r a m O b j e c t K e y > < K e y > A c t i o n s \ H i d e   t h e   e n t i t y < / K e y > < / D i a g r a m O b j e c t K e y > < D i a g r a m O b j e c t K e y > < K e y > A c t i o n s \ U n h i d e   t h e   e n t i t y < / K e y > < / D i a g r a m O b j e c t K e y > < D i a g r a m O b j e c t K e y > < K e y > A c t i o n s \ G o T o < / K e y > < / D i a g r a m O b j e c t K e y > < D i a g r a m O b j e c t K e y > < K e y > A c t i o n s \ M o v e   U p < / K e y > < / D i a g r a m O b j e c t K e y > < D i a g r a m O b j e c t K e y > < K e y > A c t i o n s \ M o v e   D o w n < / K e y > < / D i a g r a m O b j e c t K e y > < D i a g r a m O b j e c t K e y > < K e y > A c t i o n s \ M a r k   R e l a t i o n s h i p   a s   A c t i v e < / K e y > < / D i a g r a m O b j e c t K e y > < D i a g r a m O b j e c t K e y > < K e y > A c t i o n s \ M a r k   R e l a t i o n s h i p   a s   I n a c t i v e < / K e y > < / D i a g r a m O b j e c t K e y > < D i a g r a m O b j e c t K e y > < K e y > A c t i o n s \ R e l a t i o n s h i p   C r o s s   F i l t e r   D i r e c t i o n   S i n g l e < / K e y > < / D i a g r a m O b j e c t K e y > < D i a g r a m O b j e c t K e y > < K e y > A c t i o n s \ R e l a t i o n s h i p   C r o s s   F i l t e r   D i r e c t i o n   B o t h < / K e y > < / D i a g r a m O b j e c t K e y > < D i a g r a m O b j e c t K e y > < K e y > A c t i o n s \ R e l a t i o n s h i p   E n d   P o i n t   M u l t i p l i c i t y   O n e < / K e y > < / D i a g r a m O b j e c t K e y > < D i a g r a m O b j e c t K e y > < K e y > A c t i o n s \ R e l a t i o n s h i p   E n d   P o i n t   M u l t i p l i c i t y   M a n y < / K e y > < / D i a g r a m O b j e c t K e y > < D i a g r a m O b j e c t K e y > < K e y > T a g G r o u p s \ N o d e   T y p e s < / K e y > < / D i a g r a m O b j e c t K e y > < D i a g r a m O b j e c t K e y > < K e y > T a g G r o u p s \ A d d i t i o n a l   I n f o   T y p e s < / K e y > < / D i a g r a m O b j e c t K e y > < D i a g r a m O b j e c t K e y > < K e y > T a g G r o u p s \ C a l c u l a t e d   C o l u m n s < / K e y > < / D i a g r a m O b j e c t K e y > < D i a g r a m O b j e c t K e y > < K e y > T a g G r o u p s \ W a r n i n g s < / K e y > < / D i a g r a m O b j e c t K e y > < D i a g r a m O b j e c t K e y > < K e y > T a g G r o u p s \ H i g h l i g h t   R e a s o n s < / K e y > < / D i a g r a m O b j e c t K e y > < D i a g r a m O b j e c t K e y > < K e y > T a g G r o u p s \ S t a t e < / K e y > < / D i a g r a m O b j e c t K e y > < D i a g r a m O b j e c t K e y > < K e y > T a g G r o u p s \ L i n k   R o l e s < / K e y > < / D i a g r a m O b j e c t K e y > < D i a g r a m O b j e c t K e y > < K e y > T a g G r o u p s \ L i n k   T y p e s < / K e y > < / D i a g r a m O b j e c t K e y > < D i a g r a m O b j e c t K e y > < K e y > T a g G r o u p s \ L i n k   S t a t e s < / K e y > < / D i a g r a m O b j e c t K e y > < D i a g r a m O b j e c t K e y > < K e y > D i a g r a m \ T a g G r o u p s \ D e l e t i o n   I m p a c t s < / K e y > < / D i a g r a m O b j e c t K e y > < D i a g r a m O b j e c t K e y > < K e y > T a g G r o u p s \ H i e r a r c h y   I d e n t i f i e r s < / K e y > < / D i a g r a m O b j e c t K e y > < D i a g r a m O b j e c t K e y > < K e y > T a g G r o u p s \ T a b l e   I d e n t i f i e r s < / K e y > < / D i a g r a m O b j e c t K e y > < D i a g r a m O b j e c t K e y > < K e y > T a g G r o u p s \ A c t i o n   D e s c r i p t o r s < / K e y > < / D i a g r a m O b j e c t K e y > < D i a g r a m O b j e c t K e y > < K e y > T a g G r o u p s \ H i n t   T e x t s < / K e y > < / D i a g r a m O b j e c t K e y > < D i a g r a m O b j e c t K e y > < K e y > S t a t i c   T a g s \ T a b l e < / K e y > < / D i a g r a m O b j e c t K e y > < D i a g r a m O b j e c t K e y > < K e y > S t a t i c   T a g s \ C o l u m n < / K e y > < / D i a g r a m O b j e c t K e y > < D i a g r a m O b j e c t K e y > < K e y > S t a t i c   T a g s \ M e a s u r e < / K e y > < / D i a g r a m O b j e c t K e y > < D i a g r a m O b j e c t K e y > < K e y > S t a t i c   T a g s \ H i e r a r c h y < / K e y > < / D i a g r a m O b j e c t K e y > < D i a g r a m O b j e c t K e y > < K e y > S t a t i c   T a g s \ H i e r a r c h y L e v e l < / K e y > < / D i a g r a m O b j e c t K e y > < D i a g r a m O b j e c t K e y > < K e y > S t a t i c   T a g s \ K P I < / K e y > < / D i a g r a m O b j e c t K e y > < D i a g r a m O b j e c t K e y > < K e y > S t a t i c   T a g s \ A d d i t i o n a l   I n f o   f o r   S o u r c e   C o l u m n < / K e y > < / D i a g r a m O b j e c t K e y > < D i a g r a m O b j e c t K e y > < K e y > S t a t i c   T a g s \ C a l c u l a t e d   C o l u m n < / K e y > < / D i a g r a m O b j e c t K e y > < D i a g r a m O b j e c t K e y > < K e y > S t a t i c   T a g s \ E r r o r < / K e y > < / D i a g r a m O b j e c t K e y > < D i a g r a m O b j e c t K e y > < K e y > S t a t i c   T a g s \ N o t C a l c u l a t e d < / K e y > < / D i a g r a m O b j e c t K e y > < D i a g r a m O b j e c t K e y > < K e y > S t a t i c   T a g s \ I s   I m p l i c i t   M e a s u r e < / K e y > < / D i a g r a m O b j e c t K e y > < D i a g r a m O b j e c t K e y > < K e y > S t a t i c   T a g s \ R e l a t e d < / K e y > < / D i a g r a m O b j e c t K e y > < D i a g r a m O b j e c t K e y > < K e y > S t a t i c   T a g s \ D e l e t i n g < / K e y > < / D i a g r a m O b j e c t K e y > < D i a g r a m O b j e c t K e y > < K e y > S t a t i c   T a g s \ C r e a t i n g   V a l i d   R e l a t i o n s h i p < / K e y > < / D i a g r a m O b j e c t K e y > < D i a g r a m O b j e c t K e y > < K e y > S t a t i c   T a g s \ H i d d e n < / K e y > < / D i a g r a m O b j e c t K e y > < D i a g r a m O b j e c t K e y > < K e y > S t a t i c   T a g s \ L i n k e d   T a b l e   C o l u m n < / K e y > < / D i a g r a m O b j e c t K e y > < D i a g r a m O b j e c t K e y > < K e y > S t a t i c   T a g s \ I s   r e a d o n l y < / K e y > < / D i a g r a m O b j e c t K e y > < D i a g r a m O b j e c t K e y > < K e y > S t a t i c   T a g s \ F K < / K e y > < / D i a g r a m O b j e c t K e y > < D i a g r a m O b j e c t K e y > < K e y > S t a t i c   T a g s \ P K < / K e y > < / D i a g r a m O b j e c t K e y > < D i a g r a m O b j e c t K e y > < K e y > S t a t i c   T a g s \ R e l a t i o n s h i p < / K e y > < / D i a g r a m O b j e c t K e y > < D i a g r a m O b j e c t K e y > < K e y > S t a t i c   T a g s \ A c t i v e < / K e y > < / D i a g r a m O b j e c t K e y > < D i a g r a m O b j e c t K e y > < K e y > S t a t i c   T a g s \ I n a c t i v e < / K e y > < / D i a g r a m O b j e c t K e y > < D i a g r a m O b j e c t K e y > < K e y > S t a t i c   T a g s \ P r e v i e w   A c t i v e < / K e y > < / D i a g r a m O b j e c t K e y > < D i a g r a m O b j e c t K e y > < K e y > S t a t i c   T a g s \ P r e v i e w   I n a c t i v e < / K e y > < / D i a g r a m O b j e c t K e y > < D i a g r a m O b j e c t K e y > < K e y > S t a t i c   T a g s \ C r o s s F i l t e r D i r e c t i o n < / K e y > < / D i a g r a m O b j e c t K e y > < D i a g r a m O b j e c t K e y > < K e y > S t a t i c   T a g s \ C r o s s F i l t e r D i r e c t i o n S i n g l e < / K e y > < / D i a g r a m O b j e c t K e y > < D i a g r a m O b j e c t K e y > < K e y > S t a t i c   T a g s \ C r o s s F i l t e r D i r e c t i o n B o t h < / K e y > < / D i a g r a m O b j e c t K e y > < D i a g r a m O b j e c t K e y > < K e y > S t a t i c   T a g s \ E n d P o i n t M u l t i p l i c i t y O n e < / K e y > < / D i a g r a m O b j e c t K e y > < D i a g r a m O b j e c t K e y > < K e y > S t a t i c   T a g s \ E n d P o i n t M u l t i p l i c i t y M a n y < / K e y > < / D i a g r a m O b j e c t K e y > < D i a g r a m O b j e c t K e y > < K e y > D i a g r a m \ T a g G r o u p s \ H i g h l i g h t   R e a s o n s \ T a g s \ H a r d   D e l e t i o n   I m p a c t < / K e y > < / D i a g r a m O b j e c t K e y > < D i a g r a m O b j e c t K e y > < K e y > D i a g r a m \ T a g G r o u p s \ H i g h l i g h t   R e a s o n s \ T a g s \ M i n i m u m   D e l e t i o n   I m p a c t < / K e y > < / D i a g r a m O b j e c t K e y > < D i a g r a m O b j e c t K e y > < K e y > S t a t i c   T a g s \ C a n   b e   p a r t   o f   r e l a t i o n s h i p < / K e y > < / D i a g r a m O b j e c t K e y > < D i a g r a m O b j e c t K e y > < K e y > S t a t i c   T a g s \ H i n t   T e x t < / K e y > < / D i a g r a m O b j e c t K e y > < D i a g r a m O b j e c t K e y > < K e y > D y n a m i c   T a g s \ T a b l e s \ & l t ; T a b l e s \ T a b l e 3 & g t ; < / K e y > < / D i a g r a m O b j e c t K e y > < D i a g r a m O b j e c t K e y > < K e y > T a b l e s \ T a b l e 3 < / K e y > < / D i a g r a m O b j e c t K e y > < D i a g r a m O b j e c t K e y > < K e y > T a b l e s \ T a b l e 3 \ C o l u m n s \ D e s c r i � � o < / K e y > < / D i a g r a m O b j e c t K e y > < D i a g r a m O b j e c t K e y > < K e y > T a b l e s \ T a b l e 3 \ C o l u m n s \ T i p o < / K e y > < / D i a g r a m O b j e c t K e y > < D i a g r a m O b j e c t K e y > < K e y > T a b l e s \ T a b l e 3 \ C o l u m n s \ Q u a n t i d a d e < / K e y > < / D i a g r a m O b j e c t K e y > < D i a g r a m O b j e c t K e y > < K e y > T a b l e s \ T a b l e 3 \ C o l u m n s \ F r e q u � n c i a   n o   m � s / s e m e s t r e < / K e y > < / D i a g r a m O b j e c t K e y > < D i a g r a m O b j e c t K e y > < K e y > T a b l e s \ T a b l e 3 \ C o l u m n s \ J o r n a d a   d e   T r a b a l h o   n o   m � s / S e m e s t r e < / K e y > < / D i a g r a m O b j e c t K e y > < D i a g r a m O b j e c t K e y > < K e y > T a b l e s \ T a b l e 3 \ C o l u m n s \ P r o d u t i v i d a d e   M � n i m a < / K e y > < / D i a g r a m O b j e c t K e y > < D i a g r a m O b j e c t K e y > < K e y > T a b l e s \ T a b l e 3 \ C o l u m n s \ P r o d u t i v i d a d e   M � x i m a < / K e y > < / D i a g r a m O b j e c t K e y > < D i a g r a m O b j e c t K e y > < K e y > T a b l e s \ T a b l e 3 \ C o l u m n s \ P r o d u t i v i d a d e   M � d i a < / K e y > < / D i a g r a m O b j e c t K e y > < D i a g r a m O b j e c t K e y > < K e y > T a b l e s \ T a b l e 3 \ C o l u m n s \ P r o d u t i v i d a d e   P e r s o n a l i z a d a < / K e y > < / D i a g r a m O b j e c t K e y > < D i a g r a m O b j e c t K e y > < K e y > T a b l e s \ T a b l e 3 \ C o l u m n s \ K i < / K e y > < / D i a g r a m O b j e c t K e y > < D i a g r a m O b j e c t K e y > < K e y > T a b l e s \ T a b l e 3 \ C o l u m n s \ Q t d e .   S e r v e n t e s < / K e y > < / D i a g r a m O b j e c t K e y > < D i a g r a m O b j e c t K e y > < K e y > T a b l e s \ T a b l e 3 \ C o l u m n s \ K i   a j u s t a d o < / K e y > < / D i a g r a m O b j e c t K e y > < D i a g r a m O b j e c t K e y > < K e y > T a b l e s \ T a b l e 3 \ C o l u m n s \ Q t e   a j u s t a d a < / K e y > < / D i a g r a m O b j e c t K e y > < D i a g r a m O b j e c t K e y > < K e y > T a b l e s \ T a b l e 3 \ C o l u m n s \ P r o d u t i v i d a d e < / K e y > < / D i a g r a m O b j e c t K e y > < / A l l K e y s > < S e l e c t e d K e y s > < D i a g r a m O b j e c t K e y > < K e y > T a b l e s \ T a b l e 3 \ C o l u m n s \ P r o d u t i v i d a d e < / K e y > < / D i a g r a m O b j e c t K e y > < / S e l e c t e d K e y s > < / M a i n t a i n e r > < V i e w S t a t e F a c t o r y T y p e > M i c r o s o f t . A n a l y s i s S e r v i c e s . C o m m o n . D i a g r a m D i s p l a y V i e w S t a t e F a c t o r y < / V i e w S t a t e F a c t o r y T y p e > < V i e w S t a t e s   x m l n s : a = " h t t p : / / s c h e m a s . m i c r o s o f t . c o m / 2 0 0 3 / 1 0 / S e r i a l i z a t i o n / A r r a y s " > < a : K e y V a l u e O f D i a g r a m O b j e c t K e y a n y T y p e z b w N T n L X > < a : K e y > < K e y > E R   D i a g r a m < / K e y > < / a : K e y > < a : V a l u e   i : t y p e = " D i a g r a m D i s p l a y D i a g r a m V i e w S t a t e " > < L a y e d O u t > t r u e < / L a y e d O u t > < Z o o m P e r c e n t > 1 0 0 < / Z o o m P e r c e n t > < / a : V a l u e > < / a : K e y V a l u e O f D i a g r a m O b j e c t K e y a n y T y p e z b w N T n L X > < a : K e y V a l u e O f D i a g r a m O b j e c t K e y a n y T y p e z b w N T n L X > < a : K e y > < K e y > A c t i o n s \ D e l e t e < / K e y > < / a : K e y > < a : V a l u e   i : t y p e = " D i a g r a m D i s p l a y V i e w S t a t e I D i a g r a m A c t i o n " / > < / a : K e y V a l u e O f D i a g r a m O b j e c t K e y a n y T y p e z b w N T n L X > < a : K e y V a l u e O f D i a g r a m O b j e c t K e y a n y T y p e z b w N T n L X > < a : K e y > < K e y > A c t i o n s \ D e l e t e   f r o m   m o d e l < / K e y > < / a : K e y > < a : V a l u e   i : t y p e = " D i a g r a m D i s p l a y V i e w S t a t e I D i a g r a m A c t i o n " / > < / a : K e y V a l u e O f D i a g r a m O b j e c t K e y a n y T y p e z b w N T n L X > < a : K e y V a l u e O f D i a g r a m O b j e c t K e y a n y T y p e z b w N T n L X > < a : K e y > < K e y > A c t i o n s \ S e l e c t < / K e y > < / a : K e y > < a : V a l u e   i : t y p e = " D i a g r a m D i s p l a y V i e w S t a t e I D i a g r a m A c t i o n " / > < / a : K e y V a l u e O f D i a g r a m O b j e c t K e y a n y T y p e z b w N T n L X > < a : K e y V a l u e O f D i a g r a m O b j e c t K e y a n y T y p e z b w N T n L X > < a : K e y > < K e y > A c t i o n s \ C r e a t e   R e l a t i o n s h i p < / K e y > < / a : K e y > < a : V a l u e   i : t y p e = " D i a g r a m D i s p l a y V i e w S t a t e I D i a g r a m A c t i o n " / > < / a : K e y V a l u e O f D i a g r a m O b j e c t K e y a n y T y p e z b w N T n L X > < a : K e y V a l u e O f D i a g r a m O b j e c t K e y a n y T y p e z b w N T n L X > < a : K e y > < K e y > A c t i o n s \ L a u n c h   C r e a t e   R e l a t i o n s h i p   D i a l o g < / K e y > < / a : K e y > < a : V a l u e   i : t y p e = " D i a g r a m D i s p l a y V i e w S t a t e I D i a g r a m A c t i o n " / > < / a : K e y V a l u e O f D i a g r a m O b j e c t K e y a n y T y p e z b w N T n L X > < a : K e y V a l u e O f D i a g r a m O b j e c t K e y a n y T y p e z b w N T n L X > < a : K e y > < K e y > A c t i o n s \ L a u n c h   E d i t   R e l a t i o n s h i p   D i a l o g < / K e y > < / a : K e y > < a : V a l u e   i : t y p e = " D i a g r a m D i s p l a y V i e w S t a t e I D i a g r a m A c t i o n " / > < / a : K e y V a l u e O f D i a g r a m O b j e c t K e y a n y T y p e z b w N T n L X > < a : K e y V a l u e O f D i a g r a m O b j e c t K e y a n y T y p e z b w N T n L X > < a : K e y > < K e y > A c t i o n s \ C r e a t e   H i e r a r c h y   w i t h   L e v e l s < / K e y > < / a : K e y > < a : V a l u e   i : t y p e = " D i a g r a m D i s p l a y V i e w S t a t e I D i a g r a m A c t i o n " / > < / a : K e y V a l u e O f D i a g r a m O b j e c t K e y a n y T y p e z b w N T n L X > < a : K e y V a l u e O f D i a g r a m O b j e c t K e y a n y T y p e z b w N T n L X > < a : K e y > < K e y > A c t i o n s \ C r e a t e   E m p t y   H i e r a r c h y < / K e y > < / a : K e y > < a : V a l u e   i : t y p e = " D i a g r a m D i s p l a y V i e w S t a t e I D i a g r a m A c t i o n " / > < / a : K e y V a l u e O f D i a g r a m O b j e c t K e y a n y T y p e z b w N T n L X > < a : K e y V a l u e O f D i a g r a m O b j e c t K e y a n y T y p e z b w N T n L X > < a : K e y > < K e y > A c t i o n s \ R e m o v e   f r o m   H i e r a r c h y < / K e y > < / a : K e y > < a : V a l u e   i : t y p e = " D i a g r a m D i s p l a y V i e w S t a t e I D i a g r a m A c t i o n " / > < / a : K e y V a l u e O f D i a g r a m O b j e c t K e y a n y T y p e z b w N T n L X > < a : K e y V a l u e O f D i a g r a m O b j e c t K e y a n y T y p e z b w N T n L X > < a : K e y > < K e y > A c t i o n s \ R e n a m e   N o d e < / K e y > < / a : K e y > < a : V a l u e   i : t y p e = " D i a g r a m D i s p l a y V i e w S t a t e I D i a g r a m A c t i o n " / > < / a : K e y V a l u e O f D i a g r a m O b j e c t K e y a n y T y p e z b w N T n L X > < a : K e y V a l u e O f D i a g r a m O b j e c t K e y a n y T y p e z b w N T n L X > < a : K e y > < K e y > A c t i o n s \ M o v e   N o d e < / K e y > < / a : K e y > < a : V a l u e   i : t y p e = " D i a g r a m D i s p l a y V i e w S t a t e I D i a g r a m A c t i o n " / > < / a : K e y V a l u e O f D i a g r a m O b j e c t K e y a n y T y p e z b w N T n L X > < a : K e y V a l u e O f D i a g r a m O b j e c t K e y a n y T y p e z b w N T n L X > < a : K e y > < K e y > A c t i o n s \ H i d e   t h e   e n t i t y < / K e y > < / a : K e y > < a : V a l u e   i : t y p e = " D i a g r a m D i s p l a y V i e w S t a t e I D i a g r a m A c t i o n " / > < / a : K e y V a l u e O f D i a g r a m O b j e c t K e y a n y T y p e z b w N T n L X > < a : K e y V a l u e O f D i a g r a m O b j e c t K e y a n y T y p e z b w N T n L X > < a : K e y > < K e y > A c t i o n s \ U n h i d e   t h e   e n t i t y < / K e y > < / a : K e y > < a : V a l u e   i : t y p e = " D i a g r a m D i s p l a y V i e w S t a t e I D i a g r a m A c t i o n " / > < / a : K e y V a l u e O f D i a g r a m O b j e c t K e y a n y T y p e z b w N T n L X > < a : K e y V a l u e O f D i a g r a m O b j e c t K e y a n y T y p e z b w N T n L X > < a : K e y > < K e y > A c t i o n s \ G o T o < / K e y > < / a : K e y > < a : V a l u e   i : t y p e = " D i a g r a m D i s p l a y V i e w S t a t e I D i a g r a m A c t i o n " / > < / a : K e y V a l u e O f D i a g r a m O b j e c t K e y a n y T y p e z b w N T n L X > < a : K e y V a l u e O f D i a g r a m O b j e c t K e y a n y T y p e z b w N T n L X > < a : K e y > < K e y > A c t i o n s \ M o v e   U p < / K e y > < / a : K e y > < a : V a l u e   i : t y p e = " D i a g r a m D i s p l a y V i e w S t a t e I D i a g r a m A c t i o n " / > < / a : K e y V a l u e O f D i a g r a m O b j e c t K e y a n y T y p e z b w N T n L X > < a : K e y V a l u e O f D i a g r a m O b j e c t K e y a n y T y p e z b w N T n L X > < a : K e y > < K e y > A c t i o n s \ M o v e   D o w n < / K e y > < / a : K e y > < a : V a l u e   i : t y p e = " D i a g r a m D i s p l a y V i e w S t a t e I D i a g r a m A c t i o n " / > < / a : K e y V a l u e O f D i a g r a m O b j e c t K e y a n y T y p e z b w N T n L X > < a : K e y V a l u e O f D i a g r a m O b j e c t K e y a n y T y p e z b w N T n L X > < a : K e y > < K e y > A c t i o n s \ M a r k   R e l a t i o n s h i p   a s   A c t i v e < / K e y > < / a : K e y > < a : V a l u e   i : t y p e = " D i a g r a m D i s p l a y V i e w S t a t e I D i a g r a m A c t i o n " / > < / a : K e y V a l u e O f D i a g r a m O b j e c t K e y a n y T y p e z b w N T n L X > < a : K e y V a l u e O f D i a g r a m O b j e c t K e y a n y T y p e z b w N T n L X > < a : K e y > < K e y > A c t i o n s \ M a r k   R e l a t i o n s h i p   a s   I n a c t i v e < / K e y > < / a : K e y > < a : V a l u e   i : t y p e = " D i a g r a m D i s p l a y V i e w S t a t e I D i a g r a m A c t i o n " / > < / a : K e y V a l u e O f D i a g r a m O b j e c t K e y a n y T y p e z b w N T n L X > < a : K e y V a l u e O f D i a g r a m O b j e c t K e y a n y T y p e z b w N T n L X > < a : K e y > < K e y > A c t i o n s \ R e l a t i o n s h i p   C r o s s   F i l t e r   D i r e c t i o n   S i n g l e < / K e y > < / a : K e y > < a : V a l u e   i : t y p e = " D i a g r a m D i s p l a y V i e w S t a t e I D i a g r a m A c t i o n " / > < / a : K e y V a l u e O f D i a g r a m O b j e c t K e y a n y T y p e z b w N T n L X > < a : K e y V a l u e O f D i a g r a m O b j e c t K e y a n y T y p e z b w N T n L X > < a : K e y > < K e y > A c t i o n s \ R e l a t i o n s h i p   C r o s s   F i l t e r   D i r e c t i o n   B o t h < / K e y > < / a : K e y > < a : V a l u e   i : t y p e = " D i a g r a m D i s p l a y V i e w S t a t e I D i a g r a m A c t i o n " / > < / a : K e y V a l u e O f D i a g r a m O b j e c t K e y a n y T y p e z b w N T n L X > < a : K e y V a l u e O f D i a g r a m O b j e c t K e y a n y T y p e z b w N T n L X > < a : K e y > < K e y > A c t i o n s \ R e l a t i o n s h i p   E n d   P o i n t   M u l t i p l i c i t y   O n e < / K e y > < / a : K e y > < a : V a l u e   i : t y p e = " D i a g r a m D i s p l a y V i e w S t a t e I D i a g r a m A c t i o n " / > < / a : K e y V a l u e O f D i a g r a m O b j e c t K e y a n y T y p e z b w N T n L X > < a : K e y V a l u e O f D i a g r a m O b j e c t K e y a n y T y p e z b w N T n L X > < a : K e y > < K e y > A c t i o n s \ R e l a t i o n s h i p   E n d   P o i n t   M u l t i p l i c i t y   M a n y < / K e y > < / a : K e y > < a : V a l u e   i : t y p e = " D i a g r a m D i s p l a y V i e w S t a t e I D i a g r a m A c t i o n " / > < / a : K e y V a l u e O f D i a g r a m O b j e c t K e y a n y T y p e z b w N T n L X > < a : K e y V a l u e O f D i a g r a m O b j e c t K e y a n y T y p e z b w N T n L X > < a : K e y > < K e y > T a g G r o u p s \ N o d e   T y p e s < / K e y > < / a : K e y > < a : V a l u e   i : t y p e = " D i a g r a m D i s p l a y V i e w S t a t e I D i a g r a m T a g G r o u p " / > < / a : K e y V a l u e O f D i a g r a m O b j e c t K e y a n y T y p e z b w N T n L X > < a : K e y V a l u e O f D i a g r a m O b j e c t K e y a n y T y p e z b w N T n L X > < a : K e y > < K e y > T a g G r o u p s \ A d d i t i o n a l   I n f o   T y p e s < / K e y > < / a : K e y > < a : V a l u e   i : t y p e = " D i a g r a m D i s p l a y V i e w S t a t e I D i a g r a m T a g G r o u p " / > < / a : K e y V a l u e O f D i a g r a m O b j e c t K e y a n y T y p e z b w N T n L X > < a : K e y V a l u e O f D i a g r a m O b j e c t K e y a n y T y p e z b w N T n L X > < a : K e y > < K e y > T a g G r o u p s \ C a l c u l a t e d   C o l u m n s < / K e y > < / a : K e y > < a : V a l u e   i : t y p e = " D i a g r a m D i s p l a y V i e w S t a t e I D i a g r a m T a g G r o u p " / > < / a : K e y V a l u e O f D i a g r a m O b j e c t K e y a n y T y p e z b w N T n L X > < a : K e y V a l u e O f D i a g r a m O b j e c t K e y a n y T y p e z b w N T n L X > < a : K e y > < K e y > T a g G r o u p s \ W a r n i n g s < / K e y > < / a : K e y > < a : V a l u e   i : t y p e = " D i a g r a m D i s p l a y V i e w S t a t e I D i a g r a m T a g G r o u p " / > < / a : K e y V a l u e O f D i a g r a m O b j e c t K e y a n y T y p e z b w N T n L X > < a : K e y V a l u e O f D i a g r a m O b j e c t K e y a n y T y p e z b w N T n L X > < a : K e y > < K e y > T a g G r o u p s \ H i g h l i g h t   R e a s o n s < / K e y > < / a : K e y > < a : V a l u e   i : t y p e = " D i a g r a m D i s p l a y V i e w S t a t e I D i a g r a m T a g G r o u p " / > < / a : K e y V a l u e O f D i a g r a m O b j e c t K e y a n y T y p e z b w N T n L X > < a : K e y V a l u e O f D i a g r a m O b j e c t K e y a n y T y p e z b w N T n L X > < a : K e y > < K e y > T a g G r o u p s \ S t a t e < / K e y > < / a : K e y > < a : V a l u e   i : t y p e = " D i a g r a m D i s p l a y V i e w S t a t e I D i a g r a m T a g G r o u p " / > < / a : K e y V a l u e O f D i a g r a m O b j e c t K e y a n y T y p e z b w N T n L X > < a : K e y V a l u e O f D i a g r a m O b j e c t K e y a n y T y p e z b w N T n L X > < a : K e y > < K e y > T a g G r o u p s \ L i n k   R o l e s < / K e y > < / a : K e y > < a : V a l u e   i : t y p e = " D i a g r a m D i s p l a y V i e w S t a t e I D i a g r a m T a g G r o u p " / > < / a : K e y V a l u e O f D i a g r a m O b j e c t K e y a n y T y p e z b w N T n L X > < a : K e y V a l u e O f D i a g r a m O b j e c t K e y a n y T y p e z b w N T n L X > < a : K e y > < K e y > T a g G r o u p s \ L i n k   T y p e s < / K e y > < / a : K e y > < a : V a l u e   i : t y p e = " D i a g r a m D i s p l a y V i e w S t a t e I D i a g r a m T a g G r o u p " / > < / a : K e y V a l u e O f D i a g r a m O b j e c t K e y a n y T y p e z b w N T n L X > < a : K e y V a l u e O f D i a g r a m O b j e c t K e y a n y T y p e z b w N T n L X > < a : K e y > < K e y > T a g G r o u p s \ L i n k   S t a t e s < / K e y > < / a : K e y > < a : V a l u e   i : t y p e = " D i a g r a m D i s p l a y V i e w S t a t e I D i a g r a m T a g G r o u p " / > < / a : K e y V a l u e O f D i a g r a m O b j e c t K e y a n y T y p e z b w N T n L X > < a : K e y V a l u e O f D i a g r a m O b j e c t K e y a n y T y p e z b w N T n L X > < a : K e y > < K e y > D i a g r a m \ T a g G r o u p s \ D e l e t i o n   I m p a c t s < / K e y > < / a : K e y > < a : V a l u e   i : t y p e = " D i a g r a m D i s p l a y V i e w S t a t e I D i a g r a m T a g G r o u p " / > < / a : K e y V a l u e O f D i a g r a m O b j e c t K e y a n y T y p e z b w N T n L X > < a : K e y V a l u e O f D i a g r a m O b j e c t K e y a n y T y p e z b w N T n L X > < a : K e y > < K e y > T a g G r o u p s \ H i e r a r c h y   I d e n t i f i e r s < / K e y > < / a : K e y > < a : V a l u e   i : t y p e = " D i a g r a m D i s p l a y V i e w S t a t e I D i a g r a m T a g G r o u p " / > < / a : K e y V a l u e O f D i a g r a m O b j e c t K e y a n y T y p e z b w N T n L X > < a : K e y V a l u e O f D i a g r a m O b j e c t K e y a n y T y p e z b w N T n L X > < a : K e y > < K e y > T a g G r o u p s \ T a b l e   I d e n t i f i e r s < / K e y > < / a : K e y > < a : V a l u e   i : t y p e = " D i a g r a m D i s p l a y V i e w S t a t e I D i a g r a m T a g G r o u p " / > < / a : K e y V a l u e O f D i a g r a m O b j e c t K e y a n y T y p e z b w N T n L X > < a : K e y V a l u e O f D i a g r a m O b j e c t K e y a n y T y p e z b w N T n L X > < a : K e y > < K e y > T a g G r o u p s \ A c t i o n   D e s c r i p t o r s < / K e y > < / a : K e y > < a : V a l u e   i : t y p e = " D i a g r a m D i s p l a y V i e w S t a t e I D i a g r a m T a g G r o u p " / > < / a : K e y V a l u e O f D i a g r a m O b j e c t K e y a n y T y p e z b w N T n L X > < a : K e y V a l u e O f D i a g r a m O b j e c t K e y a n y T y p e z b w N T n L X > < a : K e y > < K e y > T a g G r o u p s \ H i n t   T e x t s < / K e y > < / a : K e y > < a : V a l u e   i : t y p e = " D i a g r a m D i s p l a y V i e w S t a t e I D i a g r a m T a g G r o u p " / > < / a : K e y V a l u e O f D i a g r a m O b j e c t K e y a n y T y p e z b w N T n L X > < a : K e y V a l u e O f D i a g r a m O b j e c t K e y a n y T y p e z b w N T n L X > < a : K e y > < K e y > S t a t i c   T a g s \ T a b l e < / K e y > < / a : K e y > < a : V a l u e   i : t y p e = " D i a g r a m D i s p l a y T a g V i e w S t a t e " > < I s N o t F i l t e r e d O u t > t r u e < / I s N o t F i l t e r e d O u t > < / a : V a l u e > < / a : K e y V a l u e O f D i a g r a m O b j e c t K e y a n y T y p e z b w N T n L X > < a : K e y V a l u e O f D i a g r a m O b j e c t K e y a n y T y p e z b w N T n L X > < a : K e y > < K e y > S t a t i c   T a g s \ C o l u m n < / K e y > < / a : K e y > < a : V a l u e   i : t y p e = " D i a g r a m D i s p l a y T a g V i e w S t a t e " > < I s N o t F i l t e r e d O u t > t r u e < / I s N o t F i l t e r e d O u t > < / a : V a l u e > < / a : K e y V a l u e O f D i a g r a m O b j e c t K e y a n y T y p e z b w N T n L X > < a : K e y V a l u e O f D i a g r a m O b j e c t K e y a n y T y p e z b w N T n L X > < a : K e y > < K e y > S t a t i c   T a g s \ M e a s u r e < / K e y > < / a : K e y > < a : V a l u e   i : t y p e = " D i a g r a m D i s p l a y T a g V i e w S t a t e " > < I s N o t F i l t e r e d O u t > t r u e < / I s N o t F i l t e r e d O u t > < / a : V a l u e > < / a : K e y V a l u e O f D i a g r a m O b j e c t K e y a n y T y p e z b w N T n L X > < a : K e y V a l u e O f D i a g r a m O b j e c t K e y a n y T y p e z b w N T n L X > < a : K e y > < K e y > S t a t i c   T a g s \ H i e r a r c h y < / K e y > < / a : K e y > < a : V a l u e   i : t y p e = " D i a g r a m D i s p l a y T a g V i e w S t a t e " > < I s N o t F i l t e r e d O u t > t r u e < / I s N o t F i l t e r e d O u t > < / a : V a l u e > < / a : K e y V a l u e O f D i a g r a m O b j e c t K e y a n y T y p e z b w N T n L X > < a : K e y V a l u e O f D i a g r a m O b j e c t K e y a n y T y p e z b w N T n L X > < a : K e y > < K e y > S t a t i c   T a g s \ H i e r a r c h y L e v e l < / K e y > < / a : K e y > < a : V a l u e   i : t y p e = " D i a g r a m D i s p l a y T a g V i e w S t a t e " > < I s N o t F i l t e r e d O u t > t r u e < / I s N o t F i l t e r e d O u t > < / a : V a l u e > < / a : K e y V a l u e O f D i a g r a m O b j e c t K e y a n y T y p e z b w N T n L X > < a : K e y V a l u e O f D i a g r a m O b j e c t K e y a n y T y p e z b w N T n L X > < a : K e y > < K e y > S t a t i c   T a g s \ K P I < / K e y > < / a : K e y > < a : V a l u e   i : t y p e = " D i a g r a m D i s p l a y T a g V i e w S t a t e " > < I s N o t F i l t e r e d O u t > t r u e < / I s N o t F i l t e r e d O u t > < / a : V a l u e > < / a : K e y V a l u e O f D i a g r a m O b j e c t K e y a n y T y p e z b w N T n L X > < a : K e y V a l u e O f D i a g r a m O b j e c t K e y a n y T y p e z b w N T n L X > < a : K e y > < K e y > S t a t i c   T a g s \ A d d i t i o n a l   I n f o   f o r   S o u r c e   C o l u m n < / K e y > < / a : K e y > < a : V a l u e   i : t y p e = " D i a g r a m D i s p l a y T a g V i e w S t a t e " > < I s N o t F i l t e r e d O u t > t r u e < / I s N o t F i l t e r e d O u t > < / a : V a l u e > < / a : K e y V a l u e O f D i a g r a m O b j e c t K e y a n y T y p e z b w N T n L X > < a : K e y V a l u e O f D i a g r a m O b j e c t K e y a n y T y p e z b w N T n L X > < a : K e y > < K e y > S t a t i c   T a g s \ C a l c u l a t e d   C o l u m n < / K e y > < / a : K e y > < a : V a l u e   i : t y p e = " D i a g r a m D i s p l a y T a g V i e w S t a t e " > < I s N o t F i l t e r e d O u t > t r u e < / I s N o t F i l t e r e d O u t > < / a : V a l u e > < / a : K e y V a l u e O f D i a g r a m O b j e c t K e y a n y T y p e z b w N T n L X > < a : K e y V a l u e O f D i a g r a m O b j e c t K e y a n y T y p e z b w N T n L X > < a : K e y > < K e y > S t a t i c   T a g s \ E r r o r < / K e y > < / a : K e y > < a : V a l u e   i : t y p e = " D i a g r a m D i s p l a y T a g V i e w S t a t e " > < I s N o t F i l t e r e d O u t > t r u e < / I s N o t F i l t e r e d O u t > < / a : V a l u e > < / a : K e y V a l u e O f D i a g r a m O b j e c t K e y a n y T y p e z b w N T n L X > < a : K e y V a l u e O f D i a g r a m O b j e c t K e y a n y T y p e z b w N T n L X > < a : K e y > < K e y > S t a t i c   T a g s \ N o t C a l c u l a t e d < / K e y > < / a : K e y > < a : V a l u e   i : t y p e = " D i a g r a m D i s p l a y T a g V i e w S t a t e " > < I s N o t F i l t e r e d O u t > t r u e < / I s N o t F i l t e r e d O u t > < / a : V a l u e > < / a : K e y V a l u e O f D i a g r a m O b j e c t K e y a n y T y p e z b w N T n L X > < a : K e y V a l u e O f D i a g r a m O b j e c t K e y a n y T y p e z b w N T n L X > < a : K e y > < K e y > S t a t i c   T a g s \ I s   I m p l i c i t   M e a s u r e < / K e y > < / a : K e y > < a : V a l u e   i : t y p e = " D i a g r a m D i s p l a y T a g V i e w S t a t e " > < I s N o t F i l t e r e d O u t > t r u e < / I s N o t F i l t e r e d O u t > < / a : V a l u e > < / a : K e y V a l u e O f D i a g r a m O b j e c t K e y a n y T y p e z b w N T n L X > < a : K e y V a l u e O f D i a g r a m O b j e c t K e y a n y T y p e z b w N T n L X > < a : K e y > < K e y > S t a t i c   T a g s \ R e l a t e d < / K e y > < / a : K e y > < a : V a l u e   i : t y p e = " D i a g r a m D i s p l a y T a g V i e w S t a t e " > < I s N o t F i l t e r e d O u t > t r u e < / I s N o t F i l t e r e d O u t > < / a : V a l u e > < / a : K e y V a l u e O f D i a g r a m O b j e c t K e y a n y T y p e z b w N T n L X > < a : K e y V a l u e O f D i a g r a m O b j e c t K e y a n y T y p e z b w N T n L X > < a : K e y > < K e y > S t a t i c   T a g s \ D e l e t i n g < / K e y > < / a : K e y > < a : V a l u e   i : t y p e = " D i a g r a m D i s p l a y T a g V i e w S t a t e " > < I s N o t F i l t e r e d O u t > t r u e < / I s N o t F i l t e r e d O u t > < / a : V a l u e > < / a : K e y V a l u e O f D i a g r a m O b j e c t K e y a n y T y p e z b w N T n L X > < a : K e y V a l u e O f D i a g r a m O b j e c t K e y a n y T y p e z b w N T n L X > < a : K e y > < K e y > S t a t i c   T a g s \ C r e a t i n g   V a l i d   R e l a t i o n s h i p < / K e y > < / a : K e y > < a : V a l u e   i : t y p e = " D i a g r a m D i s p l a y T a g V i e w S t a t e " > < I s N o t F i l t e r e d O u t > t r u e < / I s N o t F i l t e r e d O u t > < / a : V a l u e > < / a : K e y V a l u e O f D i a g r a m O b j e c t K e y a n y T y p e z b w N T n L X > < a : K e y V a l u e O f D i a g r a m O b j e c t K e y a n y T y p e z b w N T n L X > < a : K e y > < K e y > S t a t i c   T a g s \ H i d d e n < / K e y > < / a : K e y > < a : V a l u e   i : t y p e = " D i a g r a m D i s p l a y T a g V i e w S t a t e " > < I s N o t F i l t e r e d O u t > t r u e < / I s N o t F i l t e r e d O u t > < / a : V a l u e > < / a : K e y V a l u e O f D i a g r a m O b j e c t K e y a n y T y p e z b w N T n L X > < a : K e y V a l u e O f D i a g r a m O b j e c t K e y a n y T y p e z b w N T n L X > < a : K e y > < K e y > S t a t i c   T a g s \ L i n k e d   T a b l e   C o l u m n < / K e y > < / a : K e y > < a : V a l u e   i : t y p e = " D i a g r a m D i s p l a y T a g V i e w S t a t e " > < I s N o t F i l t e r e d O u t > t r u e < / I s N o t F i l t e r e d O u t > < / a : V a l u e > < / a : K e y V a l u e O f D i a g r a m O b j e c t K e y a n y T y p e z b w N T n L X > < a : K e y V a l u e O f D i a g r a m O b j e c t K e y a n y T y p e z b w N T n L X > < a : K e y > < K e y > S t a t i c   T a g s \ I s   r e a d o n l y < / K e y > < / a : K e y > < a : V a l u e   i : t y p e = " D i a g r a m D i s p l a y T a g V i e w S t a t e " > < I s N o t F i l t e r e d O u t > t r u e < / I s N o t F i l t e r e d O u t > < / a : V a l u e > < / a : K e y V a l u e O f D i a g r a m O b j e c t K e y a n y T y p e z b w N T n L X > < a : K e y V a l u e O f D i a g r a m O b j e c t K e y a n y T y p e z b w N T n L X > < a : K e y > < K e y > S t a t i c   T a g s \ F K < / K e y > < / a : K e y > < a : V a l u e   i : t y p e = " D i a g r a m D i s p l a y T a g V i e w S t a t e " > < I s N o t F i l t e r e d O u t > t r u e < / I s N o t F i l t e r e d O u t > < / a : V a l u e > < / a : K e y V a l u e O f D i a g r a m O b j e c t K e y a n y T y p e z b w N T n L X > < a : K e y V a l u e O f D i a g r a m O b j e c t K e y a n y T y p e z b w N T n L X > < a : K e y > < K e y > S t a t i c   T a g s \ P K < / K e y > < / a : K e y > < a : V a l u e   i : t y p e = " D i a g r a m D i s p l a y T a g V i e w S t a t e " > < I s N o t F i l t e r e d O u t > t r u e < / I s N o t F i l t e r e d O u t > < / a : V a l u e > < / a : K e y V a l u e O f D i a g r a m O b j e c t K e y a n y T y p e z b w N T n L X > < a : K e y V a l u e O f D i a g r a m O b j e c t K e y a n y T y p e z b w N T n L X > < a : K e y > < K e y > S t a t i c   T a g s \ R e l a t i o n s h i p < / K e y > < / a : K e y > < a : V a l u e   i : t y p e = " D i a g r a m D i s p l a y T a g V i e w S t a t e " > < I s N o t F i l t e r e d O u t > t r u e < / I s N o t F i l t e r e d O u t > < / a : V a l u e > < / a : K e y V a l u e O f D i a g r a m O b j e c t K e y a n y T y p e z b w N T n L X > < a : K e y V a l u e O f D i a g r a m O b j e c t K e y a n y T y p e z b w N T n L X > < a : K e y > < K e y > S t a t i c   T a g s \ A c t i v e < / K e y > < / a : K e y > < a : V a l u e   i : t y p e = " D i a g r a m D i s p l a y T a g V i e w S t a t e " > < I s N o t F i l t e r e d O u t > t r u e < / I s N o t F i l t e r e d O u t > < / a : V a l u e > < / a : K e y V a l u e O f D i a g r a m O b j e c t K e y a n y T y p e z b w N T n L X > < a : K e y V a l u e O f D i a g r a m O b j e c t K e y a n y T y p e z b w N T n L X > < a : K e y > < K e y > S t a t i c   T a g s \ I n a c t i v e < / K e y > < / a : K e y > < a : V a l u e   i : t y p e = " D i a g r a m D i s p l a y T a g V i e w S t a t e " > < I s N o t F i l t e r e d O u t > t r u e < / I s N o t F i l t e r e d O u t > < / a : V a l u e > < / a : K e y V a l u e O f D i a g r a m O b j e c t K e y a n y T y p e z b w N T n L X > < a : K e y V a l u e O f D i a g r a m O b j e c t K e y a n y T y p e z b w N T n L X > < a : K e y > < K e y > S t a t i c   T a g s \ P r e v i e w   A c t i v e < / K e y > < / a : K e y > < a : V a l u e   i : t y p e = " D i a g r a m D i s p l a y T a g V i e w S t a t e " > < I s N o t F i l t e r e d O u t > t r u e < / I s N o t F i l t e r e d O u t > < / a : V a l u e > < / a : K e y V a l u e O f D i a g r a m O b j e c t K e y a n y T y p e z b w N T n L X > < a : K e y V a l u e O f D i a g r a m O b j e c t K e y a n y T y p e z b w N T n L X > < a : K e y > < K e y > S t a t i c   T a g s \ P r e v i e w   I n a c t i v e < / K e y > < / a : K e y > < a : V a l u e   i : t y p e = " D i a g r a m D i s p l a y T a g V i e w S t a t e " > < I s N o t F i l t e r e d O u t > t r u e < / I s N o t F i l t e r e d O u t > < / a : V a l u e > < / a : K e y V a l u e O f D i a g r a m O b j e c t K e y a n y T y p e z b w N T n L X > < a : K e y V a l u e O f D i a g r a m O b j e c t K e y a n y T y p e z b w N T n L X > < a : K e y > < K e y > S t a t i c   T a g s \ C r o s s F i l t e r D i r e c t i o n < / K e y > < / a : K e y > < a : V a l u e   i : t y p e = " D i a g r a m D i s p l a y T a g V i e w S t a t e " > < I s N o t F i l t e r e d O u t > t r u e < / I s N o t F i l t e r e d O u t > < / a : V a l u e > < / a : K e y V a l u e O f D i a g r a m O b j e c t K e y a n y T y p e z b w N T n L X > < a : K e y V a l u e O f D i a g r a m O b j e c t K e y a n y T y p e z b w N T n L X > < a : K e y > < K e y > S t a t i c   T a g s \ C r o s s F i l t e r D i r e c t i o n S i n g l e < / K e y > < / a : K e y > < a : V a l u e   i : t y p e = " D i a g r a m D i s p l a y T a g V i e w S t a t e " > < I s N o t F i l t e r e d O u t > t r u e < / I s N o t F i l t e r e d O u t > < / a : V a l u e > < / a : K e y V a l u e O f D i a g r a m O b j e c t K e y a n y T y p e z b w N T n L X > < a : K e y V a l u e O f D i a g r a m O b j e c t K e y a n y T y p e z b w N T n L X > < a : K e y > < K e y > S t a t i c   T a g s \ C r o s s F i l t e r D i r e c t i o n B o t h < / K e y > < / a : K e y > < a : V a l u e   i : t y p e = " D i a g r a m D i s p l a y T a g V i e w S t a t e " > < I s N o t F i l t e r e d O u t > t r u e < / I s N o t F i l t e r e d O u t > < / a : V a l u e > < / a : K e y V a l u e O f D i a g r a m O b j e c t K e y a n y T y p e z b w N T n L X > < a : K e y V a l u e O f D i a g r a m O b j e c t K e y a n y T y p e z b w N T n L X > < a : K e y > < K e y > S t a t i c   T a g s \ E n d P o i n t M u l t i p l i c i t y O n e < / K e y > < / a : K e y > < a : V a l u e   i : t y p e = " D i a g r a m D i s p l a y T a g V i e w S t a t e " > < I s N o t F i l t e r e d O u t > t r u e < / I s N o t F i l t e r e d O u t > < / a : V a l u e > < / a : K e y V a l u e O f D i a g r a m O b j e c t K e y a n y T y p e z b w N T n L X > < a : K e y V a l u e O f D i a g r a m O b j e c t K e y a n y T y p e z b w N T n L X > < a : K e y > < K e y > S t a t i c   T a g s \ E n d P o i n t M u l t i p l i c i t y M a n y < / K e y > < / a : K e y > < a : V a l u e   i : t y p e = " D i a g r a m D i s p l a y T a g V i e w S t a t e " > < I s N o t F i l t e r e d O u t > t r u e < / I s N o t F i l t e r e d O u t > < / a : V a l u e > < / a : K e y V a l u e O f D i a g r a m O b j e c t K e y a n y T y p e z b w N T n L X > < a : K e y V a l u e O f D i a g r a m O b j e c t K e y a n y T y p e z b w N T n L X > < a : K e y > < K e y > D i a g r a m \ T a g G r o u p s \ H i g h l i g h t   R e a s o n s \ T a g s \ H a r d   D e l e t i o n   I m p a c t < / K e y > < / a : K e y > < a : V a l u e   i : t y p e = " D i a g r a m D i s p l a y T a g V i e w S t a t e " > < I s N o t F i l t e r e d O u t > t r u e < / I s N o t F i l t e r e d O u t > < / a : V a l u e > < / a : K e y V a l u e O f D i a g r a m O b j e c t K e y a n y T y p e z b w N T n L X > < a : K e y V a l u e O f D i a g r a m O b j e c t K e y a n y T y p e z b w N T n L X > < a : K e y > < K e y > D i a g r a m \ T a g G r o u p s \ H i g h l i g h t   R e a s o n s \ T a g s \ M i n i m u m   D e l e t i o n   I m p a c t < / K e y > < / a : K e y > < a : V a l u e   i : t y p e = " D i a g r a m D i s p l a y T a g V i e w S t a t e " > < I s N o t F i l t e r e d O u t > t r u e < / I s N o t F i l t e r e d O u t > < / a : V a l u e > < / a : K e y V a l u e O f D i a g r a m O b j e c t K e y a n y T y p e z b w N T n L X > < a : K e y V a l u e O f D i a g r a m O b j e c t K e y a n y T y p e z b w N T n L X > < a : K e y > < K e y > S t a t i c   T a g s \ C a n   b e   p a r t   o f   r e l a t i o n s h i p < / K e y > < / a : K e y > < a : V a l u e   i : t y p e = " D i a g r a m D i s p l a y T a g V i e w S t a t e " > < I s N o t F i l t e r e d O u t > t r u e < / I s N o t F i l t e r e d O u t > < / a : V a l u e > < / a : K e y V a l u e O f D i a g r a m O b j e c t K e y a n y T y p e z b w N T n L X > < a : K e y V a l u e O f D i a g r a m O b j e c t K e y a n y T y p e z b w N T n L X > < a : K e y > < K e y > S t a t i c   T a g s \ H i n t   T e x t < / K e y > < / a : K e y > < a : V a l u e   i : t y p e = " D i a g r a m D i s p l a y T a g V i e w S t a t e " > < I s N o t F i l t e r e d O u t > t r u e < / I s N o t F i l t e r e d O u t > < / a : V a l u e > < / a : K e y V a l u e O f D i a g r a m O b j e c t K e y a n y T y p e z b w N T n L X > < a : K e y V a l u e O f D i a g r a m O b j e c t K e y a n y T y p e z b w N T n L X > < a : K e y > < K e y > D y n a m i c   T a g s \ T a b l e s \ & l t ; T a b l e s \ T a b l e 3 & g t ; < / K e y > < / a : K e y > < a : V a l u e   i : t y p e = " D i a g r a m D i s p l a y T a g V i e w S t a t e " > < I s N o t F i l t e r e d O u t > t r u e < / I s N o t F i l t e r e d O u t > < / a : V a l u e > < / a : K e y V a l u e O f D i a g r a m O b j e c t K e y a n y T y p e z b w N T n L X > < a : K e y V a l u e O f D i a g r a m O b j e c t K e y a n y T y p e z b w N T n L X > < a : K e y > < K e y > T a b l e s \ T a b l e 3 < / K e y > < / a : K e y > < a : V a l u e   i : t y p e = " D i a g r a m D i s p l a y N o d e V i e w S t a t e " > < H e i g h t > 4 4 4 < / H e i g h t > < I s E x p a n d e d > t r u e < / I s E x p a n d e d > < L a y e d O u t > t r u e < / L a y e d O u t > < W i d t h > 6 2 2 < / W i d t h > < / a : V a l u e > < / a : K e y V a l u e O f D i a g r a m O b j e c t K e y a n y T y p e z b w N T n L X > < a : K e y V a l u e O f D i a g r a m O b j e c t K e y a n y T y p e z b w N T n L X > < a : K e y > < K e y > T a b l e s \ T a b l e 3 \ C o l u m n s \ D e s c r i � � o < / K e y > < / a : K e y > < a : V a l u e   i : t y p e = " D i a g r a m D i s p l a y N o d e V i e w S t a t e " > < H e i g h t > 1 5 0 < / H e i g h t > < I s E x p a n d e d > t r u e < / I s E x p a n d e d > < W i d t h > 2 0 0 < / W i d t h > < / a : V a l u e > < / a : K e y V a l u e O f D i a g r a m O b j e c t K e y a n y T y p e z b w N T n L X > < a : K e y V a l u e O f D i a g r a m O b j e c t K e y a n y T y p e z b w N T n L X > < a : K e y > < K e y > T a b l e s \ T a b l e 3 \ C o l u m n s \ T i p o < / K e y > < / a : K e y > < a : V a l u e   i : t y p e = " D i a g r a m D i s p l a y N o d e V i e w S t a t e " > < H e i g h t > 1 5 0 < / H e i g h t > < I s E x p a n d e d > t r u e < / I s E x p a n d e d > < W i d t h > 2 0 0 < / W i d t h > < / a : V a l u e > < / a : K e y V a l u e O f D i a g r a m O b j e c t K e y a n y T y p e z b w N T n L X > < a : K e y V a l u e O f D i a g r a m O b j e c t K e y a n y T y p e z b w N T n L X > < a : K e y > < K e y > T a b l e s \ T a b l e 3 \ C o l u m n s \ Q u a n t i d a d e < / K e y > < / a : K e y > < a : V a l u e   i : t y p e = " D i a g r a m D i s p l a y N o d e V i e w S t a t e " > < H e i g h t > 1 5 0 < / H e i g h t > < I s E x p a n d e d > t r u e < / I s E x p a n d e d > < W i d t h > 2 0 0 < / W i d t h > < / a : V a l u e > < / a : K e y V a l u e O f D i a g r a m O b j e c t K e y a n y T y p e z b w N T n L X > < a : K e y V a l u e O f D i a g r a m O b j e c t K e y a n y T y p e z b w N T n L X > < a : K e y > < K e y > T a b l e s \ T a b l e 3 \ C o l u m n s \ F r e q u � n c i a   n o   m � s / s e m e s t r e < / K e y > < / a : K e y > < a : V a l u e   i : t y p e = " D i a g r a m D i s p l a y N o d e V i e w S t a t e " > < H e i g h t > 1 5 0 < / H e i g h t > < I s E x p a n d e d > t r u e < / I s E x p a n d e d > < W i d t h > 2 0 0 < / W i d t h > < / a : V a l u e > < / a : K e y V a l u e O f D i a g r a m O b j e c t K e y a n y T y p e z b w N T n L X > < a : K e y V a l u e O f D i a g r a m O b j e c t K e y a n y T y p e z b w N T n L X > < a : K e y > < K e y > T a b l e s \ T a b l e 3 \ C o l u m n s \ J o r n a d a   d e   T r a b a l h o   n o   m � s / S e m e s t r e < / K e y > < / a : K e y > < a : V a l u e   i : t y p e = " D i a g r a m D i s p l a y N o d e V i e w S t a t e " > < H e i g h t > 1 5 0 < / H e i g h t > < I s E x p a n d e d > t r u e < / I s E x p a n d e d > < W i d t h > 2 0 0 < / W i d t h > < / a : V a l u e > < / a : K e y V a l u e O f D i a g r a m O b j e c t K e y a n y T y p e z b w N T n L X > < a : K e y V a l u e O f D i a g r a m O b j e c t K e y a n y T y p e z b w N T n L X > < a : K e y > < K e y > T a b l e s \ T a b l e 3 \ C o l u m n s \ P r o d u t i v i d a d e   M � n i m a < / K e y > < / a : K e y > < a : V a l u e   i : t y p e = " D i a g r a m D i s p l a y N o d e V i e w S t a t e " > < H e i g h t > 1 5 0 < / H e i g h t > < I s E x p a n d e d > t r u e < / I s E x p a n d e d > < W i d t h > 2 0 0 < / W i d t h > < / a : V a l u e > < / a : K e y V a l u e O f D i a g r a m O b j e c t K e y a n y T y p e z b w N T n L X > < a : K e y V a l u e O f D i a g r a m O b j e c t K e y a n y T y p e z b w N T n L X > < a : K e y > < K e y > T a b l e s \ T a b l e 3 \ C o l u m n s \ P r o d u t i v i d a d e   M � x i m a < / K e y > < / a : K e y > < a : V a l u e   i : t y p e = " D i a g r a m D i s p l a y N o d e V i e w S t a t e " > < H e i g h t > 1 5 0 < / H e i g h t > < I s E x p a n d e d > t r u e < / I s E x p a n d e d > < W i d t h > 2 0 0 < / W i d t h > < / a : V a l u e > < / a : K e y V a l u e O f D i a g r a m O b j e c t K e y a n y T y p e z b w N T n L X > < a : K e y V a l u e O f D i a g r a m O b j e c t K e y a n y T y p e z b w N T n L X > < a : K e y > < K e y > T a b l e s \ T a b l e 3 \ C o l u m n s \ P r o d u t i v i d a d e   M � d i a < / K e y > < / a : K e y > < a : V a l u e   i : t y p e = " D i a g r a m D i s p l a y N o d e V i e w S t a t e " > < H e i g h t > 1 5 0 < / H e i g h t > < I s E x p a n d e d > t r u e < / I s E x p a n d e d > < W i d t h > 2 0 0 < / W i d t h > < / a : V a l u e > < / a : K e y V a l u e O f D i a g r a m O b j e c t K e y a n y T y p e z b w N T n L X > < a : K e y V a l u e O f D i a g r a m O b j e c t K e y a n y T y p e z b w N T n L X > < a : K e y > < K e y > T a b l e s \ T a b l e 3 \ C o l u m n s \ P r o d u t i v i d a d e   P e r s o n a l i z a d a < / K e y > < / a : K e y > < a : V a l u e   i : t y p e = " D i a g r a m D i s p l a y N o d e V i e w S t a t e " > < H e i g h t > 1 5 0 < / H e i g h t > < I s E x p a n d e d > t r u e < / I s E x p a n d e d > < W i d t h > 2 0 0 < / W i d t h > < / a : V a l u e > < / a : K e y V a l u e O f D i a g r a m O b j e c t K e y a n y T y p e z b w N T n L X > < a : K e y V a l u e O f D i a g r a m O b j e c t K e y a n y T y p e z b w N T n L X > < a : K e y > < K e y > T a b l e s \ T a b l e 3 \ C o l u m n s \ K i < / K e y > < / a : K e y > < a : V a l u e   i : t y p e = " D i a g r a m D i s p l a y N o d e V i e w S t a t e " > < H e i g h t > 1 5 0 < / H e i g h t > < I s E x p a n d e d > t r u e < / I s E x p a n d e d > < W i d t h > 2 0 0 < / W i d t h > < / a : V a l u e > < / a : K e y V a l u e O f D i a g r a m O b j e c t K e y a n y T y p e z b w N T n L X > < a : K e y V a l u e O f D i a g r a m O b j e c t K e y a n y T y p e z b w N T n L X > < a : K e y > < K e y > T a b l e s \ T a b l e 3 \ C o l u m n s \ Q t d e .   S e r v e n t e s < / K e y > < / a : K e y > < a : V a l u e   i : t y p e = " D i a g r a m D i s p l a y N o d e V i e w S t a t e " > < H e i g h t > 1 5 0 < / H e i g h t > < I s E x p a n d e d > t r u e < / I s E x p a n d e d > < W i d t h > 2 0 0 < / W i d t h > < / a : V a l u e > < / a : K e y V a l u e O f D i a g r a m O b j e c t K e y a n y T y p e z b w N T n L X > < a : K e y V a l u e O f D i a g r a m O b j e c t K e y a n y T y p e z b w N T n L X > < a : K e y > < K e y > T a b l e s \ T a b l e 3 \ C o l u m n s \ K i   a j u s t a d o < / K e y > < / a : K e y > < a : V a l u e   i : t y p e = " D i a g r a m D i s p l a y N o d e V i e w S t a t e " > < H e i g h t > 1 5 0 < / H e i g h t > < I s E x p a n d e d > t r u e < / I s E x p a n d e d > < W i d t h > 2 0 0 < / W i d t h > < / a : V a l u e > < / a : K e y V a l u e O f D i a g r a m O b j e c t K e y a n y T y p e z b w N T n L X > < a : K e y V a l u e O f D i a g r a m O b j e c t K e y a n y T y p e z b w N T n L X > < a : K e y > < K e y > T a b l e s \ T a b l e 3 \ C o l u m n s \ Q t e   a j u s t a d a < / K e y > < / a : K e y > < a : V a l u e   i : t y p e = " D i a g r a m D i s p l a y N o d e V i e w S t a t e " > < H e i g h t > 1 5 0 < / H e i g h t > < I s E x p a n d e d > t r u e < / I s E x p a n d e d > < W i d t h > 2 0 0 < / W i d t h > < / a : V a l u e > < / a : K e y V a l u e O f D i a g r a m O b j e c t K e y a n y T y p e z b w N T n L X > < a : K e y V a l u e O f D i a g r a m O b j e c t K e y a n y T y p e z b w N T n L X > < a : K e y > < K e y > T a b l e s \ T a b l e 3 \ C o l u m n s \ P r o d u t i v i d a d e < / K e y > < / a : K e y > < a : V a l u e   i : t y p e = " D i a g r a m D i s p l a y N o d e V i e w S t a t e " > < H e i g h t > 1 5 0 < / H e i g h t > < I s E x p a n d e d > t r u e < / I s E x p a n d e d > < W i d t h > 2 0 0 < / W i d t h > < / a : V a l u e > < / a : K e y V a l u e O f D i a g r a m O b j e c t K e y a n y T y p e z b w N T n L X > < / V i e w S t a t e s > < / D i a g r a m M a n a g e r . S e r i a l i z a b l e D i a g r a m > < / A r r a y O f D i a g r a m M a n a g e r . S e r i a l i z a b l e D i a g r a m > ] ] > < / C u s t o m C o n t e n t > < / G e m i n i > 
</file>

<file path=customXml/item12.xml>��< ? x m l   v e r s i o n = " 1 . 0 "   e n c o d i n g = " U T F - 1 6 " ? > < G e m i n i   x m l n s = " h t t p : / / g e m i n i / p i v o t c u s t o m i z a t i o n / S h o w H i d d e n " > < C u s t o m C o n t e n t > < ! [ C D A T A [ T r u e ] ] > < / C u s t o m C o n t e n t > < / G e m i n i > 
</file>

<file path=customXml/item13.xml>��< ? x m l   v e r s i o n = " 1 . 0 "   e n c o d i n g = " U T F - 1 6 " ? > < G e m i n i   x m l n s = " h t t p : / / g e m i n i / p i v o t c u s t o m i z a t i o n / F o r m u l a B a r S t a t e " > < C u s t o m C o n t e n t > < ! [ C D A T A [ < S a n d b o x E d i t o r . F o r m u l a B a r S t a t e   x m l n s = " h t t p : / / s c h e m a s . d a t a c o n t r a c t . o r g / 2 0 0 4 / 0 7 / M i c r o s o f t . A n a l y s i s S e r v i c e s . C o m m o n "   x m l n s : i = " h t t p : / / w w w . w 3 . o r g / 2 0 0 1 / X M L S c h e m a - i n s t a n c e " > < H e i g h t > 2 2 < / H e i g h t > < / S a n d b o x E d i t o r . F o r m u l a B a r S t a t e > ] ] > < / C u s t o m C o n t e n t > < / G e m i n i > 
</file>

<file path=customXml/item14.xml>��< ? x m l   v e r s i o n = " 1 . 0 "   e n c o d i n g = " U T F - 1 6 " ? > < G e m i n i   x m l n s = " h t t p : / / g e m i n i / p i v o t c u s t o m i z a t i o n / L i n k e d T a b l e U p d a t e M o d e " > < C u s t o m C o n t e n t > < ! [ C D A T A [ T r u e ] ] > < / C u s t o m C o n t e n t > < / G e m i n i > 
</file>

<file path=customXml/item15.xml>��< ? x m l   v e r s i o n = " 1 . 0 "   e n c o d i n g = " U T F - 1 6 " ? > < G e m i n i   x m l n s = " h t t p : / / g e m i n i / p i v o t c u s t o m i z a t i o n / M e a s u r e G r i d S t a t e " > < C u s t o m C o n t e n t > < ! [ C D A T A [ < A r r a y O f K e y V a l u e O f s t r i n g S a n d b o x E d i t o r . M e a s u r e G r i d S t a t e S c d E 3 5 R y   x m l n s = " h t t p : / / s c h e m a s . m i c r o s o f t . c o m / 2 0 0 3 / 1 0 / S e r i a l i z a t i o n / A r r a y s "   x m l n s : i = " h t t p : / / w w w . w 3 . o r g / 2 0 0 1 / X M L S c h e m a - i n s t a n c e " > < K e y V a l u e O f s t r i n g S a n d b o x E d i t o r . M e a s u r e G r i d S t a t e S c d E 3 5 R y > < K e y > T a b l e 3 < / K e y > < V a l u e   x m l n s : a = " h t t p : / / s c h e m a s . d a t a c o n t r a c t . o r g / 2 0 0 4 / 0 7 / M i c r o s o f t . A n a l y s i s S e r v i c e s . C o m m o n " > < a : H a s F o c u s > t r u e < / a : H a s F o c u s > < a : S i z e A t D p i 9 6 > 1 1 3 < / a : S i z e A t D p i 9 6 > < a : V i s i b l e > t r u e < / a : V i s i b l e > < / V a l u e > < / K e y V a l u e O f s t r i n g S a n d b o x E d i t o r . M e a s u r e G r i d S t a t e S c d E 3 5 R y > < / A r r a y O f K e y V a l u e O f s t r i n g S a n d b o x E d i t o r . M e a s u r e G r i d S t a t e S c d E 3 5 R y > ] ] > < / C u s t o m C o n t e n t > < / G e m i n i > 
</file>

<file path=customXml/item16.xml>��< ? x m l   v e r s i o n = " 1 . 0 "   e n c o d i n g = " U T F - 1 6 " ? > < G e m i n i   x m l n s = " h t t p : / / g e m i n i / p i v o t c u s t o m i z a t i o n / P o w e r P i v o t V e r s i o n " > < C u s t o m C o n t e n t > < ! [ C D A T A [ 2 0 1 5 . 1 3 0 . 8 0 0 . 9 5 8 ] ] > < / C u s t o m C o n t e n t > < / G e m i n i > 
</file>

<file path=customXml/item17.xml>��< ? x m l   v e r s i o n = " 1 . 0 "   e n c o d i n g = " U T F - 1 6 " ? > < G e m i n i   x m l n s = " h t t p : / / g e m i n i / p i v o t c u s t o m i z a t i o n / S h o w I m p l i c i t M e a s u r e s " > < C u s t o m C o n t e n t > < ! [ C D A T A [ F a l s e ] ] > < / C u s t o m C o n t e n t > < / G e m i n i > 
</file>

<file path=customXml/item2.xml>��< ? x m l   v e r s i o n = " 1 . 0 "   e n c o d i n g = " u t f - 1 6 " ? > < D a t a M a s h u p   s q m i d = " e 2 a 4 9 9 5 0 - 3 2 8 9 - 4 a 8 a - 8 9 5 b - 5 3 c 5 1 3 3 4 b 7 5 1 "   x m l n s = " h t t p : / / s c h e m a s . m i c r o s o f t . c o m / D a t a M a s h u p " > A A A A A B Y D A A B Q S w M E F A A C A A g A y A h Y T s z Z p g S m A A A A + A A A A B I A H A B D b 2 5 m a W c v U G F j a 2 F n Z S 5 4 b W w g o h g A K K A U A A A A A A A A A A A A A A A A A A A A A A A A A A A A h Y / N C o J A G E V f R W b v / C i G y O c I t U 2 I g m g 7 j J M O 6 S j O m L 5 b i x 6 p V 0 g o q 1 3 L e z i L c x + 3 O 2 R T U 3 t X 1 V v d m h Q x T J G n j G w L b c o U D e 7 s x y j j s B P y I k r l z b K x y W S L F F X O d Q k h 4 z j i M c R t X 5 K A U k Z O + f Y g K 9 U I 9 J H 1 f 9 n X x j p h p E I c j q 8 Y H u B V h K O Q h Z j F D M i C I d f m q w R z M a Z A f i B s h t o N v e K d 8 9 d 7 I M s E 8 n 7 B n 1 B L A w Q U A A I A C A D I C F h O D 8 r p q 6 Q A A A D p A A A A E w A c A F t D b 2 5 0 Z W 5 0 X 1 R 5 c G V z X S 5 4 b W w g o h g A K K A U A A A A A A A A A A A A A A A A A A A A A A A A A A A A b Y 5 L D s I w D E S v E n m f u r B A C D V l A d y A C 0 T B / Y j m o 8 Z F 4 W w s O B J X I G 1 3 i K V n 5 n n m 8 3 p X x 2 Q H 8 a A x 9 t 4 p 2 B Q l C H L G 3 3 r X K p i 4 k X s 4 1 t X 1 G S i K H H V R Q c c c D o j R d G R 1 L H w g l 5 3 G j 1 Z z P s c W g z Z 3 3 R J u y 3 K H x j s m x 5 L n H 1 B X Z 2 r 0 N L C 4 p C y v t R k H c V p z c 5 U C p s S 4 y P i X s D 9 5 H c L Q G 8 3 Z x C R t l H Y h c R l e f w F Q S w M E F A A C A A g A y A h Y T i i K R 7 g O A A A A E Q A A A B M A H A B G b 3 J t d W x h c y 9 T Z W N 0 a W 9 u M S 5 t I K I Y A C i g F A A A A A A A A A A A A A A A A A A A A A A A A A A A A C t O T S 7 J z M 9 T C I b Q h t Y A U E s B A i 0 A F A A C A A g A y A h Y T s z Z p g S m A A A A + A A A A B I A A A A A A A A A A A A A A A A A A A A A A E N v b m Z p Z y 9 Q Y W N r Y W d l L n h t b F B L A Q I t A B Q A A g A I A M g I W E 4 P y u m r p A A A A O k A A A A T A A A A A A A A A A A A A A A A A P I A A A B b Q 2 9 u d G V u d F 9 U e X B l c 1 0 u e G 1 s U E s B A i 0 A F A A C A A g A y A h Y T i i K R 7 g O A A A A E Q A A A B M A A A A A A A A A A A A A A A A A 4 w E A A E Z v c m 1 1 b G F z L 1 N l Y 3 R p b 2 4 x L m 1 Q S w U G A A A A A A M A A w D C A A A A P g I A A A A A E A E A A O + 7 v z w / e G 1 s I H Z l c n N p b 2 4 9 I j E u M C I g Z W 5 j b 2 R p b m c 9 I n V 0 Z i 0 4 I j 8 + P F B l c m 1 p c 3 N p b 2 5 M a X N 0 I H h t b G 5 z O n h z Z D 0 i a H R 0 c D o v L 3 d 3 d y 5 3 M y 5 v c m c v M j A w M S 9 Y T U x T Y 2 h l b W E i I H h t b G 5 z O n h z a T 0 i a H R 0 c D o v L 3 d 3 d y 5 3 M y 5 v c m c v M j A w M S 9 Y T U x T Y 2 h l b W E t a W 5 z d G F u Y 2 U i P j x D Y W 5 F d m F s d W F 0 Z U Z 1 d H V y Z V B h Y 2 t h Z 2 V z P m Z h b H N l P C 9 D Y W 5 F d m F s d W F 0 Z U Z 1 d H V y Z V B h Y 2 t h Z 2 V z P j x G a X J l d 2 F s b E V u Y W J s Z W Q + d H J 1 Z T w v R m l y Z X d h b G x F b m F i b G V k P j w v U G V y b W l z c 2 l v b k x p c 3 Q + l w E A A A A A A A B 1 A Q A A 7 7 u / P D 9 4 b W w g d m V y c 2 l v b j 0 i M S 4 w I i B l b m N v Z G l u Z z 0 i d X R m L T g i P z 4 8 T G 9 j Y W x Q Y W N r Y W d l T W V 0 Y W R h d G F G a W x l I H h t b G 5 z O n h z Z D 0 i a H R 0 c D o v L 3 d 3 d y 5 3 M y 5 v c m c v M j A w M S 9 Y T U x T Y 2 h l b W E i I H h t b G 5 z O n h z a T 0 i a H R 0 c D o v L 3 d 3 d y 5 3 M y 5 v c m c v M j A w M S 9 Y T U x T Y 2 h l b W E t a W 5 z d G F u Y 2 U i P j x J d G V t c z 4 8 S X R l b T 4 8 S X R l b U x v Y 2 F 0 a W 9 u P j x J d G V t V H l w Z T 5 B b G x G b 3 J t d W x h c z w v S X R l b V R 5 c G U + P E l 0 Z W 1 Q Y X R o I C 8 + P C 9 J d G V t T G 9 j Y X R p b 2 4 + P F N 0 Y W J s Z U V u d H J p Z X M + P E V u d H J 5 I F R 5 c G U 9 I l J l b G F 0 a W 9 u c 2 h p c H M i I F Z h b H V l P S J z Q U F B Q U F B P T 0 i I C 8 + P C 9 T d G F i b G V F b n R y a W V z P j w v S X R l b T 4 8 L 0 l 0 Z W 1 z P j w v T G 9 j Y W x Q Y W N r Y W d l T W V 0 Y W R h d G F G a W x l P h Y A A A B Q S w U G A A A A A A A A A A A A A A A A A A A A A A A A J g E A A A E A A A D Q j J 3 f A R X R E Y x 6 A M B P w p f r A Q A A A H t h z y a I / h t C p d F H y o F 5 j w w A A A A A A g A A A A A A E G Y A A A A B A A A g A A A A 3 7 M m + 8 3 8 3 3 9 e P c d k A P 1 i B T + D w a I V n 4 + W + q t 3 X z F y 0 8 U A A A A A D o A A A A A C A A A g A A A A S o N 8 V a H s b r 0 o R L r a M 5 S d Z C f C 8 7 4 o u d E H T y P h o v D + + b 1 Q A A A A O 8 T X n P O o k 6 M o V w g b L 4 t X i Q z 2 3 7 j e J H C Y 4 n i L h 6 1 5 S 7 / P H E m 8 V l z Q u U e m l o R R A f s g 7 6 m U K j K s o m + o u 7 P 4 g G U a 5 C z 0 H A / L Y t B a T Z N T 7 g Q b v h V A A A A A d E z x s j J U 1 a 7 f p b r g d y f V N 7 1 y u G O / + g I O T d e h W n c W 7 / X X W S 1 n 3 I i Y d N y j 1 n U H y F 5 U x g f X V v o F w / f t t z a O w k o e X A = = < / D a t a M a s h u p > 
</file>

<file path=customXml/item3.xml>��< ? x m l   v e r s i o n = " 1 . 0 "   e n c o d i n g = " U T F - 1 6 " ? > < G e m i n i   x m l n s = " h t t p : / / g e m i n i / p i v o t c u s t o m i z a t i o n / M a n u a l C a l c M o d e " > < C u s t o m C o n t e n t > < ! [ C D A T A [ F a l s e ] ] > < / C u s t o m C o n t e n t > < / G e m i n i > 
</file>

<file path=customXml/item4.xml>��< ? x m l   v e r s i o n = " 1 . 0 "   e n c o d i n g = " U T F - 1 6 " ? > < G e m i n i   x m l n s = " h t t p : / / g e m i n i / p i v o t c u s t o m i z a t i o n / R e l a t i o n s h i p A u t o D e t e c t i o n E n a b l e d " > < C u s t o m C o n t e n t > < ! [ C D A T A [ T r u e ] ] > < / C u s t o m C o n t e n t > < / G e m i n i > 
</file>

<file path=customXml/item5.xml>��< ? x m l   v e r s i o n = " 1 . 0 "   e n c o d i n g = " U T F - 1 6 " ? > < G e m i n i   x m l n s = " h t t p : / / g e m i n i / p i v o t c u s t o m i z a t i o n / T a b l e X M L _ T a b l e 3 " > < C u s t o m C o n t e n t > < ! [ C D A T A [ < T a b l e W i d g e t G r i d S e r i a l i z a t i o n   x m l n s : x s d = " h t t p : / / w w w . w 3 . o r g / 2 0 0 1 / X M L S c h e m a "   x m l n s : x s i = " h t t p : / / w w w . w 3 . o r g / 2 0 0 1 / X M L S c h e m a - i n s t a n c e " > < C o l u m n S u g g e s t e d T y p e   / > < C o l u m n F o r m a t   / > < C o l u m n A c c u r a c y   / > < C o l u m n C u r r e n c y S y m b o l   / > < C o l u m n P o s i t i v e P a t t e r n   / > < C o l u m n N e g a t i v e P a t t e r n   / > < C o l u m n W i d t h s > < i t e m > < k e y > < s t r i n g > D e s c r i � � o < / s t r i n g > < / k e y > < v a l u e > < i n t > 2 5 2 < / i n t > < / v a l u e > < / i t e m > < i t e m > < k e y > < s t r i n g > T i p o < / s t r i n g > < / k e y > < v a l u e > < i n t > 6 3 < / i n t > < / v a l u e > < / i t e m > < i t e m > < k e y > < s t r i n g > Q u a n t i d a d e < / s t r i n g > < / k e y > < v a l u e > < i n t > 1 0 8 < / i n t > < / v a l u e > < / i t e m > < i t e m > < k e y > < s t r i n g > F r e q u � n c i a   n o   m � s / s e m e s t r e < / s t r i n g > < / k e y > < v a l u e > < i n t > 1 4 6 < / i n t > < / v a l u e > < / i t e m > < i t e m > < k e y > < s t r i n g > J o r n a d a   d e   T r a b a l h o   n o   m � s / S e m e s t r e < / s t r i n g > < / k e y > < v a l u e > < i n t > 2 7 2 < / i n t > < / v a l u e > < / i t e m > < i t e m > < k e y > < s t r i n g > P r o d u t i v i d a d e   M � n i m a < / s t r i n g > < / k e y > < v a l u e > < i n t > 1 7 2 < / i n t > < / v a l u e > < / i t e m > < i t e m > < k e y > < s t r i n g > P r o d u t i v i d a d e   M � x i m a < / s t r i n g > < / k e y > < v a l u e > < i n t > 1 7 5 < / i n t > < / v a l u e > < / i t e m > < i t e m > < k e y > < s t r i n g > P r o d u t i v i d a d e   M � d i a < / s t r i n g > < / k e y > < v a l u e > < i n t > 1 6 5 < / i n t > < / v a l u e > < / i t e m > < i t e m > < k e y > < s t r i n g > P r o d u t i v i d a d e   P e r s o n a l i z a d a < / s t r i n g > < / k e y > < v a l u e > < i n t > 2 1 2 < / i n t > < / v a l u e > < / i t e m > < i t e m > < k e y > < s t r i n g > K i < / s t r i n g > < / k e y > < v a l u e > < i n t > 4 8 < / i n t > < / v a l u e > < / i t e m > < i t e m > < k e y > < s t r i n g > Q t d e .   S e r v e n t e s < / s t r i n g > < / k e y > < v a l u e > < i n t > 1 3 6 < / i n t > < / v a l u e > < / i t e m > < i t e m > < k e y > < s t r i n g > K i   a j u s t a d o < / s t r i n g > < / k e y > < v a l u e > < i n t > 1 0 4 < / i n t > < / v a l u e > < / i t e m > < i t e m > < k e y > < s t r i n g > Q t e   a j u s t a d a < / s t r i n g > < / k e y > < v a l u e > < i n t > 1 1 4 < / i n t > < / v a l u e > < / i t e m > < i t e m > < k e y > < s t r i n g > P r o d u t i v i d a d e < / s t r i n g > < / k e y > < v a l u e > < i n t > 1 7 8 < / i n t > < / v a l u e > < / i t e m > < / C o l u m n W i d t h s > < C o l u m n D i s p l a y I n d e x > < i t e m > < k e y > < s t r i n g > D e s c r i � � o < / s t r i n g > < / k e y > < v a l u e > < i n t > 0 < / i n t > < / v a l u e > < / i t e m > < i t e m > < k e y > < s t r i n g > T i p o < / s t r i n g > < / k e y > < v a l u e > < i n t > 1 < / i n t > < / v a l u e > < / i t e m > < i t e m > < k e y > < s t r i n g > Q u a n t i d a d e < / s t r i n g > < / k e y > < v a l u e > < i n t > 2 < / i n t > < / v a l u e > < / i t e m > < i t e m > < k e y > < s t r i n g > F r e q u � n c i a   n o   m � s / s e m e s t r e < / s t r i n g > < / k e y > < v a l u e > < i n t > 3 < / i n t > < / v a l u e > < / i t e m > < i t e m > < k e y > < s t r i n g > J o r n a d a   d e   T r a b a l h o   n o   m � s / S e m e s t r e < / s t r i n g > < / k e y > < v a l u e > < i n t > 4 < / i n t > < / v a l u e > < / i t e m > < i t e m > < k e y > < s t r i n g > P r o d u t i v i d a d e   M � n i m a < / s t r i n g > < / k e y > < v a l u e > < i n t > 5 < / i n t > < / v a l u e > < / i t e m > < i t e m > < k e y > < s t r i n g > P r o d u t i v i d a d e   M � x i m a < / s t r i n g > < / k e y > < v a l u e > < i n t > 6 < / i n t > < / v a l u e > < / i t e m > < i t e m > < k e y > < s t r i n g > P r o d u t i v i d a d e   M � d i a < / s t r i n g > < / k e y > < v a l u e > < i n t > 7 < / i n t > < / v a l u e > < / i t e m > < i t e m > < k e y > < s t r i n g > P r o d u t i v i d a d e   P e r s o n a l i z a d a < / s t r i n g > < / k e y > < v a l u e > < i n t > 8 < / i n t > < / v a l u e > < / i t e m > < i t e m > < k e y > < s t r i n g > K i < / s t r i n g > < / k e y > < v a l u e > < i n t > 9 < / i n t > < / v a l u e > < / i t e m > < i t e m > < k e y > < s t r i n g > Q t d e .   S e r v e n t e s < / s t r i n g > < / k e y > < v a l u e > < i n t > 1 0 < / i n t > < / v a l u e > < / i t e m > < i t e m > < k e y > < s t r i n g > K i   a j u s t a d o < / s t r i n g > < / k e y > < v a l u e > < i n t > 1 1 < / i n t > < / v a l u e > < / i t e m > < i t e m > < k e y > < s t r i n g > Q t e   a j u s t a d a < / s t r i n g > < / k e y > < v a l u e > < i n t > 1 2 < / i n t > < / v a l u e > < / i t e m > < i t e m > < k e y > < s t r i n g > P r o d u t i v i d a d e < / s t r i n g > < / k e y > < v a l u e > < i n t > 1 3 < / i n t > < / v a l u e > < / i t e m > < / C o l u m n D i s p l a y I n d e x > < C o l u m n F r o z e n   / > < C o l u m n C h e c k e d   / > < C o l u m n F i l t e r   / > < S e l e c t i o n F i l t e r   / > < F i l t e r P a r a m e t e r s   / > < I s S o r t D e s c e n d i n g > f a l s e < / I s S o r t D e s c e n d i n g > < / T a b l e W i d g e t G r i d S e r i a l i z a t i o n > ] ] > < / C u s t o m C o n t e n t > < / G e m i n i > 
</file>

<file path=customXml/item6.xml>��< ? x m l   v e r s i o n = " 1 . 0 "   e n c o d i n g = " U T F - 1 6 " ? > < G e m i n i   x m l n s = " h t t p : / / g e m i n i / p i v o t c u s t o m i z a t i o n / T a b l e O r d e r " > < C u s t o m C o n t e n t > < ! [ C D A T A [ T a b l e 3 ] ] > < / C u s t o m C o n t e n t > < / G e m i n i > 
</file>

<file path=customXml/item7.xml>��< ? x m l   v e r s i o n = " 1 . 0 "   e n c o d i n g = " U T F - 1 6 " ? > < G e m i n i   x m l n s = " h t t p : / / g e m i n i / p i v o t c u s t o m i z a t i o n / T a b l e W i d g e t " > < C u s t o m C o n t e n t > < ! [ C D A T A [ < A r r a y O f D i a g r a m M a n a g e r . S e r i a l i z a b l e D i a g r a m   x m l n s = " h t t p : / / s c h e m a s . d a t a c o n t r a c t . o r g / 2 0 0 4 / 0 7 / M i c r o s o f t . A n a l y s i s S e r v i c e s . C o m m o n "   x m l n s : i = " h t t p : / / w w w . w 3 . o r g / 2 0 0 1 / X M L S c h e m a - i n s t a n c e " > < D i a g r a m M a n a g e r . S e r i a l i z a b l e D i a g r a m > < A d a p t e r   i : t y p e = " T a b l e W i d g e t V i e w M o d e l S a n d b o x A d a p t e r " > < T a b l e N a m e > T a b l e 3 < / T a b l e N a m e > < / A d a p t e r > < D i a g r a m T y p e > T a b l e W i d g e t V i e w M o d e l < / D i a g r a m T y p e > < D i s p l a y C o n t e x t   i : t y p e = " T a b l e W i d g e t D i s p l a y C o n t e x t " > < I s F i l t e r e d T a g K e y > < K e y > S t a t i c   T a g s \ H a s   F i l t e r < / K e y > < / I s F i l t e r e d T a g K e y > < I s I n T y p e B o o l e a n K e y > < K e y > S t a t i c   T a g s \ I s   B o o l e a n < / K e y > < / I s I n T y p e B o o l e a n K e y > < I s I n T y p e N u m b e r K e y > < K e y > S t a t i c   T a g s \ I s   N u m b e r < / K e y > < / I s I n T y p e N u m b e r K e y > < I s I n T y p e T e x t K e y > < K e y > S t a t i c   T a g s \ I s   T e x t < / K e y > < / I s I n T y p e T e x t K e y > < I s I n T y p e T i m e K e y > < K e y > S t a t i c   T a g s \ I s   T i m e < / K e y > < / I s I n T y p e T i m e K e y > < I s S o r t A s c e n d i n g T a g K e y > < K e y > S t a t i c   T a g s \ I s   S o r t e d   A s c e n d i n g < / K e y > < / I s S o r t A s c e n d i n g T a g K e y > < I s S o r t D e s c e n d i n g T a g K e y > < K e y > S t a t i c   T a g s \ I s   S o r t e d   D e s c e n d i n g < / K e y > < / I s S o r t D e s c e n d i n g T a g K e y > < I s S o r t a b l e T a g K e y > < K e y > S t a t i c   T a g s \ c a n   b e   s o r t e d < / K e y > < / I s S o r t a b l e T a g K e y > < / D i s p l a y C o n t e x t > < D i s p l a y T y p e > T a b l e W i d g e t P a n e l < / D i s p l a y T y p e > < K e y   i : t y p e = " S a n d b o x E d i t o r T a b l e W i d g e t V i e w M o d e l K e y " > < T a b l e N a m e > T a b l e 3 < / T a b l e N a m e > < / K e y > < M a i n t a i n e r   i : t y p e = " T a b l e W i d g e t V i e w M o d e l . T a b l e W i d g e t V i e w M o d e l M a i n t a i n e r " / > < V i e w S t a t e F a c t o r y T y p e > M i c r o s o f t . A n a l y s i s S e r v i c e s . C o m m o n . T a b l e W i d g e t V i e w S t a t e F a c t o r y < / V i e w S t a t e F a c t o r y T y p e > < V i e w S t a t e s   x m l n s : a = " h t t p : / / s c h e m a s . m i c r o s o f t . c o m / 2 0 0 3 / 1 0 / S e r i a l i z a t i o n / A r r a y s " > < a : K e y V a l u e O f D i a g r a m O b j e c t K e y a n y T y p e z b w N T n L X > < a : K e y > < K e y > T a b l e W i d g e t G r i d   M o d e l < / K e y > < / a : K e y > < a : V a l u e   i : t y p e = " T a b l e W i d g e t B a s e V i e w S t a t e " / > < / a : K e y V a l u e O f D i a g r a m O b j e c t K e y a n y T y p e z b w N T n L X > < a : K e y V a l u e O f D i a g r a m O b j e c t K e y a n y T y p e z b w N T n L X > < a : K e y > < K e y > A c t i o n s \ S o r t   A s c e n d i n g < / K e y > < / a : K e y > < a : V a l u e   i : t y p e = " T a b l e W i d g e t B a s e V i e w S t a t e " / > < / a : K e y V a l u e O f D i a g r a m O b j e c t K e y a n y T y p e z b w N T n L X > < a : K e y V a l u e O f D i a g r a m O b j e c t K e y a n y T y p e z b w N T n L X > < a : K e y > < K e y > A c t i o n s \ S o r t   D e s c e n d i n g < / K e y > < / a : K e y > < a : V a l u e   i : t y p e = " T a b l e W i d g e t B a s e V i e w S t a t e " / > < / a : K e y V a l u e O f D i a g r a m O b j e c t K e y a n y T y p e z b w N T n L X > < a : K e y V a l u e O f D i a g r a m O b j e c t K e y a n y T y p e z b w N T n L X > < a : K e y > < K e y > A c t i o n s \ C l e a r   S o r t   f r o m   t h i s   C o l u m n < / K e y > < / a : K e y > < a : V a l u e   i : t y p e = " T a b l e W i d g e t B a s e V i e w S t a t e " / > < / a : K e y V a l u e O f D i a g r a m O b j e c t K e y a n y T y p e z b w N T n L X > < a : K e y V a l u e O f D i a g r a m O b j e c t K e y a n y T y p e z b w N T n L X > < a : K e y > < K e y > A c t i o n s \ C l e a r   S o r t   f r o m   t h i s   T a b l e < / K e y > < / a : K e y > < a : V a l u e   i : t y p e = " T a b l e W i d g e t B a s e V i e w S t a t e " / > < / a : K e y V a l u e O f D i a g r a m O b j e c t K e y a n y T y p e z b w N T n L X > < a : K e y V a l u e O f D i a g r a m O b j e c t K e y a n y T y p e z b w N T n L X > < a : K e y > < K e y > A c t i o n s \ L o a d   T o p   N   D i s t i n c t   V a l u e s < / K e y > < / a : K e y > < a : V a l u e   i : t y p e = " T a b l e W i d g e t B a s e V i e w S t a t e " / > < / a : K e y V a l u e O f D i a g r a m O b j e c t K e y a n y T y p e z b w N T n L X > < a : K e y V a l u e O f D i a g r a m O b j e c t K e y a n y T y p e z b w N T n L X > < a : K e y > < K e y > T a g G r o u p s \ N o d e   T y p e s < / K e y > < / a : K e y > < a : V a l u e   i : t y p e = " T a b l e W i d g e t B a s e V i e w S t a t e " / > < / a : K e y V a l u e O f D i a g r a m O b j e c t K e y a n y T y p e z b w N T n L X > < a : K e y V a l u e O f D i a g r a m O b j e c t K e y a n y T y p e z b w N T n L X > < a : K e y > < K e y > T a g G r o u p s \ D a t a   T y p e < / K e y > < / a : K e y > < a : V a l u e   i : t y p e = " T a b l e W i d g e t B a s e V i e w S t a t e " / > < / a : K e y V a l u e O f D i a g r a m O b j e c t K e y a n y T y p e z b w N T n L X > < a : K e y V a l u e O f D i a g r a m O b j e c t K e y a n y T y p e z b w N T n L X > < a : K e y > < K e y > T a g G r o u p s \ S t a t e < / K e y > < / a : K e y > < a : V a l u e   i : t y p e = " T a b l e W i d g e t B a s e V i e w S t a t e " / > < / a : K e y V a l u e O f D i a g r a m O b j e c t K e y a n y T y p e z b w N T n L X > < a : K e y V a l u e O f D i a g r a m O b j e c t K e y a n y T y p e z b w N T n L X > < a : K e y > < K e y > S t a t i c   T a g s \ C o l u m n < / K e y > < / a : K e y > < a : V a l u e   i : t y p e = " T a b l e W i d g e t B a s e V i e w S t a t e " / > < / a : K e y V a l u e O f D i a g r a m O b j e c t K e y a n y T y p e z b w N T n L X > < a : K e y V a l u e O f D i a g r a m O b j e c t K e y a n y T y p e z b w N T n L X > < a : K e y > < K e y > S t a t i c   T a g s \ I s   B o o l e a n < / K e y > < / a : K e y > < a : V a l u e   i : t y p e = " T a b l e W i d g e t B a s e V i e w S t a t e " / > < / a : K e y V a l u e O f D i a g r a m O b j e c t K e y a n y T y p e z b w N T n L X > < a : K e y V a l u e O f D i a g r a m O b j e c t K e y a n y T y p e z b w N T n L X > < a : K e y > < K e y > S t a t i c   T a g s \ I s   N u m b e r < / K e y > < / a : K e y > < a : V a l u e   i : t y p e = " T a b l e W i d g e t B a s e V i e w S t a t e " / > < / a : K e y V a l u e O f D i a g r a m O b j e c t K e y a n y T y p e z b w N T n L X > < a : K e y V a l u e O f D i a g r a m O b j e c t K e y a n y T y p e z b w N T n L X > < a : K e y > < K e y > S t a t i c   T a g s \ I s   T e x t < / K e y > < / a : K e y > < a : V a l u e   i : t y p e = " T a b l e W i d g e t B a s e V i e w S t a t e " / > < / a : K e y V a l u e O f D i a g r a m O b j e c t K e y a n y T y p e z b w N T n L X > < a : K e y V a l u e O f D i a g r a m O b j e c t K e y a n y T y p e z b w N T n L X > < a : K e y > < K e y > S t a t i c   T a g s \ I s   T i m e < / K e y > < / a : K e y > < a : V a l u e   i : t y p e = " T a b l e W i d g e t B a s e V i e w S t a t e " / > < / a : K e y V a l u e O f D i a g r a m O b j e c t K e y a n y T y p e z b w N T n L X > < a : K e y V a l u e O f D i a g r a m O b j e c t K e y a n y T y p e z b w N T n L X > < a : K e y > < K e y > S t a t i c   T a g s \ c a n   b e   s o r t e d < / K e y > < / a : K e y > < a : V a l u e   i : t y p e = " T a b l e W i d g e t B a s e V i e w S t a t e " / > < / a : K e y V a l u e O f D i a g r a m O b j e c t K e y a n y T y p e z b w N T n L X > < a : K e y V a l u e O f D i a g r a m O b j e c t K e y a n y T y p e z b w N T n L X > < a : K e y > < K e y > S t a t i c   T a g s \ I s   S o r t e d   A s c e n d i n g < / K e y > < / a : K e y > < a : V a l u e   i : t y p e = " T a b l e W i d g e t B a s e V i e w S t a t e " / > < / a : K e y V a l u e O f D i a g r a m O b j e c t K e y a n y T y p e z b w N T n L X > < a : K e y V a l u e O f D i a g r a m O b j e c t K e y a n y T y p e z b w N T n L X > < a : K e y > < K e y > S t a t i c   T a g s \ I s   S o r t e d   D e s c e n d i n g < / K e y > < / a : K e y > < a : V a l u e   i : t y p e = " T a b l e W i d g e t B a s e V i e w S t a t e " / > < / a : K e y V a l u e O f D i a g r a m O b j e c t K e y a n y T y p e z b w N T n L X > < a : K e y V a l u e O f D i a g r a m O b j e c t K e y a n y T y p e z b w N T n L X > < a : K e y > < K e y > S t a t i c   T a g s \ H a s   F i l t e r < / K e y > < / a : K e y > < a : V a l u e   i : t y p e = " T a b l e W i d g e t B a s e V i e w S t a t e " / > < / a : K e y V a l u e O f D i a g r a m O b j e c t K e y a n y T y p e z b w N T n L X > < a : K e y V a l u e O f D i a g r a m O b j e c t K e y a n y T y p e z b w N T n L X > < a : K e y > < K e y > S t a t i c   T a g s \     < / K e y > < / a : K e y > < a : V a l u e   i : t y p e = " T a b l e W i d g e t B a s e V i e w S t a t e " / > < / a : K e y V a l u e O f D i a g r a m O b j e c t K e y a n y T y p e z b w N T n L X > < a : K e y V a l u e O f D i a g r a m O b j e c t K e y a n y T y p e z b w N T n L X > < a : K e y > < K e y > S t a t i c   T a g s \ I s   P r i v a t e < / K e y > < / a : K e y > < a : V a l u e   i : t y p e = " T a b l e W i d g e t B a s e V i e w S t a t e " / > < / a : K e y V a l u e O f D i a g r a m O b j e c t K e y a n y T y p e z b w N T n L X > < a : K e y V a l u e O f D i a g r a m O b j e c t K e y a n y T y p e z b w N T n L X > < a : K e y > < K e y > C o l u m n s \ D e s c r i � � o < / K e y > < / a : K e y > < a : V a l u e   i : t y p e = " T a b l e W i d g e t B a s e V i e w S t a t e " / > < / a : K e y V a l u e O f D i a g r a m O b j e c t K e y a n y T y p e z b w N T n L X > < a : K e y V a l u e O f D i a g r a m O b j e c t K e y a n y T y p e z b w N T n L X > < a : K e y > < K e y > C o l u m n s \ T i p o < / K e y > < / a : K e y > < a : V a l u e   i : t y p e = " T a b l e W i d g e t B a s e V i e w S t a t e " / > < / a : K e y V a l u e O f D i a g r a m O b j e c t K e y a n y T y p e z b w N T n L X > < a : K e y V a l u e O f D i a g r a m O b j e c t K e y a n y T y p e z b w N T n L X > < a : K e y > < K e y > C o l u m n s \ Q u a n t i d a d e < / K e y > < / a : K e y > < a : V a l u e   i : t y p e = " T a b l e W i d g e t B a s e V i e w S t a t e " / > < / a : K e y V a l u e O f D i a g r a m O b j e c t K e y a n y T y p e z b w N T n L X > < a : K e y V a l u e O f D i a g r a m O b j e c t K e y a n y T y p e z b w N T n L X > < a : K e y > < K e y > C o l u m n s \ F r e q u � n c i a   n o   m � s / s e m e s t r e < / K e y > < / a : K e y > < a : V a l u e   i : t y p e = " T a b l e W i d g e t B a s e V i e w S t a t e " / > < / a : K e y V a l u e O f D i a g r a m O b j e c t K e y a n y T y p e z b w N T n L X > < a : K e y V a l u e O f D i a g r a m O b j e c t K e y a n y T y p e z b w N T n L X > < a : K e y > < K e y > C o l u m n s \ J o r n a d a   d e   T r a b a l h o   n o   m � s / S e m e s t r e < / K e y > < / a : K e y > < a : V a l u e   i : t y p e = " T a b l e W i d g e t B a s e V i e w S t a t e " / > < / a : K e y V a l u e O f D i a g r a m O b j e c t K e y a n y T y p e z b w N T n L X > < a : K e y V a l u e O f D i a g r a m O b j e c t K e y a n y T y p e z b w N T n L X > < a : K e y > < K e y > C o l u m n s \ P r o d u t i v i d a d e   M � n i m a < / K e y > < / a : K e y > < a : V a l u e   i : t y p e = " T a b l e W i d g e t B a s e V i e w S t a t e " / > < / a : K e y V a l u e O f D i a g r a m O b j e c t K e y a n y T y p e z b w N T n L X > < a : K e y V a l u e O f D i a g r a m O b j e c t K e y a n y T y p e z b w N T n L X > < a : K e y > < K e y > C o l u m n s \ P r o d u t i v i d a d e   M � x i m a < / K e y > < / a : K e y > < a : V a l u e   i : t y p e = " T a b l e W i d g e t B a s e V i e w S t a t e " / > < / a : K e y V a l u e O f D i a g r a m O b j e c t K e y a n y T y p e z b w N T n L X > < a : K e y V a l u e O f D i a g r a m O b j e c t K e y a n y T y p e z b w N T n L X > < a : K e y > < K e y > C o l u m n s \ P r o d u t i v i d a d e   M � d i a < / K e y > < / a : K e y > < a : V a l u e   i : t y p e = " T a b l e W i d g e t B a s e V i e w S t a t e " / > < / a : K e y V a l u e O f D i a g r a m O b j e c t K e y a n y T y p e z b w N T n L X > < a : K e y V a l u e O f D i a g r a m O b j e c t K e y a n y T y p e z b w N T n L X > < a : K e y > < K e y > C o l u m n s \ P r o d u t i v i d a d e   P e r s o n a l i z a d a < / K e y > < / a : K e y > < a : V a l u e   i : t y p e = " T a b l e W i d g e t B a s e V i e w S t a t e " / > < / a : K e y V a l u e O f D i a g r a m O b j e c t K e y a n y T y p e z b w N T n L X > < a : K e y V a l u e O f D i a g r a m O b j e c t K e y a n y T y p e z b w N T n L X > < a : K e y > < K e y > C o l u m n s \ K i < / K e y > < / a : K e y > < a : V a l u e   i : t y p e = " T a b l e W i d g e t B a s e V i e w S t a t e " / > < / a : K e y V a l u e O f D i a g r a m O b j e c t K e y a n y T y p e z b w N T n L X > < a : K e y V a l u e O f D i a g r a m O b j e c t K e y a n y T y p e z b w N T n L X > < a : K e y > < K e y > C o l u m n s \ Q t d e .   S e r v e n t e s < / K e y > < / a : K e y > < a : V a l u e   i : t y p e = " T a b l e W i d g e t B a s e V i e w S t a t e " / > < / a : K e y V a l u e O f D i a g r a m O b j e c t K e y a n y T y p e z b w N T n L X > < a : K e y V a l u e O f D i a g r a m O b j e c t K e y a n y T y p e z b w N T n L X > < a : K e y > < K e y > C o l u m n s \ K i   a j u s t a d o < / K e y > < / a : K e y > < a : V a l u e   i : t y p e = " T a b l e W i d g e t B a s e V i e w S t a t e " / > < / a : K e y V a l u e O f D i a g r a m O b j e c t K e y a n y T y p e z b w N T n L X > < a : K e y V a l u e O f D i a g r a m O b j e c t K e y a n y T y p e z b w N T n L X > < a : K e y > < K e y > C o l u m n s \ Q t e   a j u s t a d a < / K e y > < / a : K e y > < a : V a l u e   i : t y p e = " T a b l e W i d g e t B a s e V i e w S t a t e " / > < / a : K e y V a l u e O f D i a g r a m O b j e c t K e y a n y T y p e z b w N T n L X > < a : K e y V a l u e O f D i a g r a m O b j e c t K e y a n y T y p e z b w N T n L X > < a : K e y > < K e y > C o l u m n s \ P r o d u t i v i d a d e < / K e y > < / a : K e y > < a : V a l u e   i : t y p e = " T a b l e W i d g e t B a s e V i e w S t a t e " / > < / a : K e y V a l u e O f D i a g r a m O b j e c t K e y a n y T y p e z b w N T n L X > < a : K e y V a l u e O f D i a g r a m O b j e c t K e y a n y T y p e z b w N T n L X > < a : K e y > < K e y > C o l u m n s \     < / K e y > < / a : K e y > < a : V a l u e   i : t y p e = " T a b l e W i d g e t B a s e V i e w S t a t e " / > < / a : K e y V a l u e O f D i a g r a m O b j e c t K e y a n y T y p e z b w N T n L X > < / V i e w S t a t e s > < / D i a g r a m M a n a g e r . S e r i a l i z a b l e D i a g r a m > < / A r r a y O f D i a g r a m M a n a g e r . S e r i a l i z a b l e D i a g r a m > ] ] > < / C u s t o m C o n t e n t > < / G e m i n i > 
</file>

<file path=customXml/item8.xml>��< ? x m l   v e r s i o n = " 1 . 0 "   e n c o d i n g = " U T F - 1 6 " ? > < G e m i n i   x m l n s = " h t t p : / / g e m i n i / p i v o t c u s t o m i z a t i o n / E r r o r C a c h e " > < C u s t o m C o n t e n t > < ! [ C D A T A [ < D a t a M o d e l i n g S a n d b o x . S e r i a l i z e d S a n d b o x E r r o r C a c h e   x m l n s = " h t t p : / / s c h e m a s . d a t a c o n t r a c t . o r g / 2 0 0 4 / 0 7 / M i c r o s o f t . A n a l y s i s S e r v i c e s . B a c k E n d "   x m l n s : i = " h t t p : / / w w w . w 3 . o r g / 2 0 0 1 / X M L S c h e m a - i n s t a n c e " > < E r r o r C a c h e D i c t i o n a r y   x m l n s : a = " h t t p : / / s c h e m a s . m i c r o s o f t . c o m / 2 0 0 3 / 1 0 / S e r i a l i z a t i o n / A r r a y s " / > < L a s t P r o c e s s e d T i m e > 2 0 1 9 - 0 2 - 2 4 T 0 9 : 4 5 : 1 6 . 4 5 6 9 3 8 4 - 0 3 : 0 0 < / L a s t P r o c e s s e d T i m e > < / D a t a M o d e l i n g S a n d b o x . S e r i a l i z e d S a n d b o x E r r o r C a c h e > ] ] > < / C u s t o m C o n t e n t > < / G e m i n i > 
</file>

<file path=customXml/item9.xml>��< ? x m l   v e r s i o n = " 1 . 0 "   e n c o d i n g = " U T F - 1 6 " ? > < G e m i n i   x m l n s = " h t t p : / / g e m i n i / p i v o t c u s t o m i z a t i o n / C l i e n t W i n d o w X M L " > < C u s t o m C o n t e n t > < ! [ C D A T A [ T a b l e 3 ] ] > < / C u s t o m C o n t e n t > < / G e m i n i > 
</file>

<file path=customXml/itemProps1.xml><?xml version="1.0" encoding="utf-8"?>
<ds:datastoreItem xmlns:ds="http://schemas.openxmlformats.org/officeDocument/2006/customXml" ds:itemID="{44A77694-12D2-45C6-BC21-B74C17479B00}">
  <ds:schemaRefs/>
</ds:datastoreItem>
</file>

<file path=customXml/itemProps10.xml><?xml version="1.0" encoding="utf-8"?>
<ds:datastoreItem xmlns:ds="http://schemas.openxmlformats.org/officeDocument/2006/customXml" ds:itemID="{46933E33-13A0-4B69-B2FA-6AAEDB07CE8E}">
  <ds:schemaRefs/>
</ds:datastoreItem>
</file>

<file path=customXml/itemProps11.xml><?xml version="1.0" encoding="utf-8"?>
<ds:datastoreItem xmlns:ds="http://schemas.openxmlformats.org/officeDocument/2006/customXml" ds:itemID="{3D0EB289-6ADA-4ABF-954F-CBB24501EBB1}">
  <ds:schemaRefs/>
</ds:datastoreItem>
</file>

<file path=customXml/itemProps12.xml><?xml version="1.0" encoding="utf-8"?>
<ds:datastoreItem xmlns:ds="http://schemas.openxmlformats.org/officeDocument/2006/customXml" ds:itemID="{D24CE791-0A0A-4653-9537-015962008E36}">
  <ds:schemaRefs/>
</ds:datastoreItem>
</file>

<file path=customXml/itemProps13.xml><?xml version="1.0" encoding="utf-8"?>
<ds:datastoreItem xmlns:ds="http://schemas.openxmlformats.org/officeDocument/2006/customXml" ds:itemID="{7AF3AD75-BA31-4F4A-984F-395A7399A996}">
  <ds:schemaRefs/>
</ds:datastoreItem>
</file>

<file path=customXml/itemProps14.xml><?xml version="1.0" encoding="utf-8"?>
<ds:datastoreItem xmlns:ds="http://schemas.openxmlformats.org/officeDocument/2006/customXml" ds:itemID="{D59F7F65-5792-4AFD-807E-6EF0ED8CC599}">
  <ds:schemaRefs/>
</ds:datastoreItem>
</file>

<file path=customXml/itemProps15.xml><?xml version="1.0" encoding="utf-8"?>
<ds:datastoreItem xmlns:ds="http://schemas.openxmlformats.org/officeDocument/2006/customXml" ds:itemID="{AF3839CB-EB85-4B93-B2E6-2A84403A12C5}">
  <ds:schemaRefs/>
</ds:datastoreItem>
</file>

<file path=customXml/itemProps16.xml><?xml version="1.0" encoding="utf-8"?>
<ds:datastoreItem xmlns:ds="http://schemas.openxmlformats.org/officeDocument/2006/customXml" ds:itemID="{4221D6DA-6518-4041-9D3B-13E6A4AC98E7}">
  <ds:schemaRefs/>
</ds:datastoreItem>
</file>

<file path=customXml/itemProps17.xml><?xml version="1.0" encoding="utf-8"?>
<ds:datastoreItem xmlns:ds="http://schemas.openxmlformats.org/officeDocument/2006/customXml" ds:itemID="{E7DDFF85-C6C0-4AA7-BEBD-C27D20512296}">
  <ds:schemaRefs/>
</ds:datastoreItem>
</file>

<file path=customXml/itemProps2.xml><?xml version="1.0" encoding="utf-8"?>
<ds:datastoreItem xmlns:ds="http://schemas.openxmlformats.org/officeDocument/2006/customXml" ds:itemID="{B16AAB40-06F4-435D-8AEF-E5DD6D81CDCA}">
  <ds:schemaRefs/>
</ds:datastoreItem>
</file>

<file path=customXml/itemProps3.xml><?xml version="1.0" encoding="utf-8"?>
<ds:datastoreItem xmlns:ds="http://schemas.openxmlformats.org/officeDocument/2006/customXml" ds:itemID="{D60EC4F2-A7A0-467F-9B3F-475B4E9FD7CF}">
  <ds:schemaRefs/>
</ds:datastoreItem>
</file>

<file path=customXml/itemProps4.xml><?xml version="1.0" encoding="utf-8"?>
<ds:datastoreItem xmlns:ds="http://schemas.openxmlformats.org/officeDocument/2006/customXml" ds:itemID="{32804E0E-2ECA-4E83-87CF-BB27BCF3B2F6}">
  <ds:schemaRefs/>
</ds:datastoreItem>
</file>

<file path=customXml/itemProps5.xml><?xml version="1.0" encoding="utf-8"?>
<ds:datastoreItem xmlns:ds="http://schemas.openxmlformats.org/officeDocument/2006/customXml" ds:itemID="{3E7DADF5-98D3-409D-B380-09EE56B84F94}">
  <ds:schemaRefs/>
</ds:datastoreItem>
</file>

<file path=customXml/itemProps6.xml><?xml version="1.0" encoding="utf-8"?>
<ds:datastoreItem xmlns:ds="http://schemas.openxmlformats.org/officeDocument/2006/customXml" ds:itemID="{5F29046F-1CBC-4FD4-80CF-724367A55723}">
  <ds:schemaRefs/>
</ds:datastoreItem>
</file>

<file path=customXml/itemProps7.xml><?xml version="1.0" encoding="utf-8"?>
<ds:datastoreItem xmlns:ds="http://schemas.openxmlformats.org/officeDocument/2006/customXml" ds:itemID="{FE54B4C3-285F-47A7-802F-1DF735C12624}">
  <ds:schemaRefs/>
</ds:datastoreItem>
</file>

<file path=customXml/itemProps8.xml><?xml version="1.0" encoding="utf-8"?>
<ds:datastoreItem xmlns:ds="http://schemas.openxmlformats.org/officeDocument/2006/customXml" ds:itemID="{9BACF4D7-AB33-456E-B4D8-64981D96218B}">
  <ds:schemaRefs/>
</ds:datastoreItem>
</file>

<file path=customXml/itemProps9.xml><?xml version="1.0" encoding="utf-8"?>
<ds:datastoreItem xmlns:ds="http://schemas.openxmlformats.org/officeDocument/2006/customXml" ds:itemID="{102A8123-E0B1-4E0D-AFB0-8D7CF46718CC}">
  <ds:schemaRefs/>
</ds:datastoreItem>
</file>

<file path=docProps/app.xml><?xml version="1.0" encoding="utf-8"?>
<Properties xmlns="http://schemas.openxmlformats.org/officeDocument/2006/extended-properties" xmlns:vt="http://schemas.openxmlformats.org/officeDocument/2006/docPropsVTypes">
  <Application>Microsoft Excel Online</Application>
  <HeadingPairs>
    <vt:vector size="2" baseType="variant">
      <vt:variant>
        <vt:lpstr>工作表</vt:lpstr>
      </vt:variant>
      <vt:variant>
        <vt:i4>6</vt:i4>
      </vt:variant>
    </vt:vector>
  </HeadingPairs>
  <TitlesOfParts>
    <vt:vector size="6" baseType="lpstr">
      <vt:lpstr>Servente</vt:lpstr>
      <vt:lpstr>Encarregado</vt:lpstr>
      <vt:lpstr>ASG com Insalubridade (40%)</vt:lpstr>
      <vt:lpstr>Materiais</vt:lpstr>
      <vt:lpstr>Uniformes EPI EPC</vt:lpstr>
      <vt:lpstr>Equipamentos</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Daniel Carlos</dc:creator>
  <cp:lastModifiedBy>IFPB</cp:lastModifiedBy>
  <dcterms:created xsi:type="dcterms:W3CDTF">2019-02-19T21:25:00Z</dcterms:created>
  <dcterms:modified xsi:type="dcterms:W3CDTF">2020-11-09T14:30:30Z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1046-11.2.0.9739</vt:lpwstr>
  </property>
</Properties>
</file>